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15" yWindow="4950" windowWidth="19440" windowHeight="6180" tabRatio="727"/>
  </bookViews>
  <sheets>
    <sheet name="Procedura guidata (Office 2007)" sheetId="27" r:id="rId1"/>
    <sheet name="Riepilogo generale" sheetId="13" r:id="rId2"/>
    <sheet name="Riepilogo oneri e costi" sheetId="2" r:id="rId3"/>
    <sheet name="Contributo costruzione Hide" sheetId="26" state="hidden" r:id="rId4"/>
    <sheet name="Descrizione dell'intervento" sheetId="1" r:id="rId5"/>
    <sheet name="Determinazione classe" sheetId="19" r:id="rId6"/>
    <sheet name="Costo Costruzione" sheetId="20" r:id="rId7"/>
    <sheet name="Costo costruzione statofatto" sheetId="17" r:id="rId8"/>
    <sheet name="Costo costruzione progetto" sheetId="7" r:id="rId9"/>
    <sheet name="Calcolo superficie parcheggio" sheetId="23" r:id="rId10"/>
    <sheet name="Parametri" sheetId="22" state="hidden" r:id="rId11"/>
    <sheet name="Solo1" sheetId="12" state="hidden" r:id="rId12"/>
    <sheet name="Versioni" sheetId="24" state="hidden" r:id="rId13"/>
  </sheets>
  <definedNames>
    <definedName name="_xlnm.Print_Area" localSheetId="3">'Contributo costruzione Hide'!$B$2:$N$172</definedName>
    <definedName name="_xlnm.Print_Area" localSheetId="6">'Costo Costruzione'!$B$1:$S$36</definedName>
    <definedName name="_xlnm.Print_Area" localSheetId="8">'Costo costruzione progetto'!$B$1:$P$53</definedName>
    <definedName name="_xlnm.Print_Area" localSheetId="7">'Costo costruzione statofatto'!$A$1:$P$53</definedName>
    <definedName name="_xlnm.Print_Area" localSheetId="4">'Descrizione dell''intervento'!$B$1:$H$89</definedName>
    <definedName name="_xlnm.Print_Area" localSheetId="5">'Determinazione classe'!$A$2:$P$34</definedName>
    <definedName name="_xlnm.Print_Area" localSheetId="1">'Riepilogo generale'!$B$2:$F$70</definedName>
    <definedName name="_xlnm.Print_Area" localSheetId="2">'Riepilogo oneri e costi'!$B$2:$N$187</definedName>
    <definedName name="Calcolo_sup_parcheggi_tot_volume_UIU">'Calcolo superficie parcheggio'!$C$4:$C$22</definedName>
    <definedName name="CalcOn_OneriSmaltRif" localSheetId="3">'Contributo costruzione Hide'!$G$55</definedName>
    <definedName name="CalcOn_OneriSmaltRif">'Riepilogo oneri e costi'!$G$76</definedName>
    <definedName name="CalcOn_OneriUrbPrim" localSheetId="3">'Contributo costruzione Hide'!$G$53</definedName>
    <definedName name="CalcOn_OneriUrbPrim">'Riepilogo oneri e costi'!$G$54</definedName>
    <definedName name="CalcOn_OneriUrbSec" localSheetId="3">'Contributo costruzione Hide'!$G$54</definedName>
    <definedName name="CalcOn_OneriUrbSec">'Riepilogo oneri e costi'!$G$69</definedName>
    <definedName name="CC_AltriCosti_DescMaggCostoCAreeAgr" localSheetId="3">'Contributo costruzione Hide'!$B$167</definedName>
    <definedName name="CC_AltriCosti_DescMaggCostoCAreeAgr">'Riepilogo oneri e costi'!$B$182</definedName>
    <definedName name="CC_AltriCosti_DescMaggOnPrimRecSott" localSheetId="3">'Contributo costruzione Hide'!#REF!</definedName>
    <definedName name="CC_AltriCosti_DescMaggOnPrimRecSott">'Riepilogo oneri e costi'!#REF!</definedName>
    <definedName name="CC_AltriCosti_DescMaggOnRecSottF2Primaria" localSheetId="3">'Contributo costruzione Hide'!#REF!</definedName>
    <definedName name="CC_AltriCosti_DescMaggOnRecSottF2Primaria">'Riepilogo oneri e costi'!#REF!</definedName>
    <definedName name="CC_AltriCosti_DescMaggOnRecSottF2Secondaria" localSheetId="3">'Contributo costruzione Hide'!#REF!</definedName>
    <definedName name="CC_AltriCosti_DescMaggOnRecSottF2Secondaria">'Riepilogo oneri e costi'!#REF!</definedName>
    <definedName name="CC_AltriCosti_DescMaggOnSecRecSott" localSheetId="3">'Contributo costruzione Hide'!#REF!</definedName>
    <definedName name="CC_AltriCosti_DescMaggOnSecRecSott">'Riepilogo oneri e costi'!#REF!</definedName>
    <definedName name="CC_AltriCosti_Sanzione" localSheetId="3">'Contributo costruzione Hide'!$L$165</definedName>
    <definedName name="CC_AltriCosti_Sanzione">'Riepilogo oneri e costi'!$L$180</definedName>
    <definedName name="CC_AltriCosti_SanzioneLabel" localSheetId="3">'Contributo costruzione Hide'!$B$165</definedName>
    <definedName name="CC_AltriCosti_SanzioneLabel">'Riepilogo oneri e costi'!$B$180</definedName>
    <definedName name="CC_AltriCosti_ValoreMaggCCRecSott" localSheetId="3">'Contributo costruzione Hide'!$M$156</definedName>
    <definedName name="CC_AltriCosti_ValoreMaggCCRecSott">'Riepilogo oneri e costi'!$M$163</definedName>
    <definedName name="CC_AltriCosti_ValoreMaggCCRecSott_Etic">'Riepilogo oneri e costi'!$L$163</definedName>
    <definedName name="CC_AltriCosti_ValoreMaggCostoCAreeAgr" localSheetId="3">'Contributo costruzione Hide'!$M$167</definedName>
    <definedName name="CC_AltriCosti_ValoreMaggCostoCAreeAgr">'Riepilogo oneri e costi'!$M$182</definedName>
    <definedName name="CC_AltriCosti_ValoreMaggOnPrimRecSott" localSheetId="3">'Contributo costruzione Hide'!$M$118</definedName>
    <definedName name="CC_AltriCosti_ValoreMaggOnPrimRecSott">'Riepilogo oneri e costi'!$M$63</definedName>
    <definedName name="CC_AltriCosti_ValoreMaggOnPrimRecSott_Etic">'Riepilogo oneri e costi'!$L$63</definedName>
    <definedName name="CC_AltriCosti_ValoreMaggOnRecSott" localSheetId="3">'Contributo costruzione Hide'!$M$119</definedName>
    <definedName name="CC_AltriCosti_ValoreMaggOnRecSott">'Riepilogo oneri e costi'!$M$70</definedName>
    <definedName name="CC_AltriCosti_ValoreMaggOnRecSott_Etic">'Riepilogo oneri e costi'!$L$70</definedName>
    <definedName name="CC_AltriCosti_ValoreMaggOnRecSottF2Primaria" localSheetId="3">'Contributo costruzione Hide'!#REF!</definedName>
    <definedName name="CC_AltriCosti_ValoreMaggOnRecSottF2Primaria">'Riepilogo oneri e costi'!#REF!</definedName>
    <definedName name="CC_AltriCosti_ValoreMaggOnRecSottF2Secondaria" localSheetId="3">'Contributo costruzione Hide'!#REF!</definedName>
    <definedName name="CC_AltriCosti_ValoreMaggOnRecSottF2Secondaria">'Riepilogo oneri e costi'!#REF!</definedName>
    <definedName name="CC_AltriCosti_ValoreMaggOnSecRecSott" localSheetId="3">'Contributo costruzione Hide'!#REF!</definedName>
    <definedName name="CC_AltriCosti_ValoreMaggOnSecRecSott">'Riepilogo oneri e costi'!#REF!</definedName>
    <definedName name="CC_CommercioTerziario" localSheetId="3">'Contributo costruzione Hide'!$L$139</definedName>
    <definedName name="CC_CommercioTerziario">'Riepilogo oneri e costi'!$L$156</definedName>
    <definedName name="CC_Corrisposto" localSheetId="3">'Contributo costruzione Hide'!$L$144</definedName>
    <definedName name="CC_Corrisposto">'Riepilogo oneri e costi'!$M$166</definedName>
    <definedName name="cc_CostoCostRecSottProg" localSheetId="3">'Contributo costruzione Hide'!$L$143</definedName>
    <definedName name="cc_CostoCostRecSottProg">'Riepilogo oneri e costi'!$L$161</definedName>
    <definedName name="CC_lblPersonalizzazione1" localSheetId="3">'Contributo costruzione Hide'!$B$40</definedName>
    <definedName name="CC_lblPersonalizzazione1">'Riepilogo oneri e costi'!$B$40</definedName>
    <definedName name="Cc_Modalitacalcolo" localSheetId="7">'Costo costruzione statofatto'!$D$3</definedName>
    <definedName name="Cc_Modalitacalcolo">'Costo costruzione progetto'!$D$3</definedName>
    <definedName name="CC_Oneri_Urb_Prim_Corrisposti">'Riepilogo oneri e costi'!$M$66</definedName>
    <definedName name="CC_Oneri_Urb_Sec_Corrisposti">'Riepilogo oneri e costi'!$M$73</definedName>
    <definedName name="Cc_OneriSmaltRifiutiRif" localSheetId="3">'Contributo costruzione Hide'!$L$129</definedName>
    <definedName name="Cc_OneriSmaltRifiutiRif">'Riepilogo oneri e costi'!$L$78</definedName>
    <definedName name="Cc_OneriUrbPrimariaRif" localSheetId="3">'Contributo costruzione Hide'!$L$127</definedName>
    <definedName name="Cc_OneriUrbPrimariaRif">'Riepilogo oneri e costi'!$L$67</definedName>
    <definedName name="Cc_OneriUrbSecondariaRif" localSheetId="3">'Contributo costruzione Hide'!$L$128</definedName>
    <definedName name="Cc_OneriUrbSecondariaRif">'Riepilogo oneri e costi'!$L$74</definedName>
    <definedName name="CC_Residenziale" localSheetId="3">'Contributo costruzione Hide'!$L$137</definedName>
    <definedName name="CC_Residenziale">'Riepilogo oneri e costi'!$L$154</definedName>
    <definedName name="CC_RiduzionePianoCasa" localSheetId="3">'Contributo costruzione Hide'!$M$157</definedName>
    <definedName name="CC_RiduzionePianoCasa">'Riepilogo oneri e costi'!$M$165</definedName>
    <definedName name="CC_RiduzionePianoCasa_StFatto_Prog">'Riepilogo oneri e costi'!$M$173</definedName>
    <definedName name="CC_SanzioneCostoCostruzione" localSheetId="3">'Contributo costruzione Hide'!$M$158</definedName>
    <definedName name="CC_SanzioneCostoCostruzione">'Riepilogo oneri e costi'!$M$164</definedName>
    <definedName name="CC_SanzioneCostoCostruzione_StFatto_Prog">'Riepilogo oneri e costi'!$M$172</definedName>
    <definedName name="CC_SanzioneOneriUrbPrim" localSheetId="3">'Contributo costruzione Hide'!$M$121</definedName>
    <definedName name="CC_SanzioneOneriUrbPrim">'Riepilogo oneri e costi'!$M$64</definedName>
    <definedName name="CC_SanzioneOneriUrbSec" localSheetId="3">'Contributo costruzione Hide'!$M$122</definedName>
    <definedName name="CC_SanzioneOneriUrbSec">'Riepilogo oneri e costi'!$M$71</definedName>
    <definedName name="CC_SanzioneSmaltimentoRifiuti">'Riepilogo oneri e costi'!$M$77</definedName>
    <definedName name="CCSF_DettContCostoCost_SommaIncrementi" localSheetId="7">'Costo costruzione statofatto'!$K$32</definedName>
    <definedName name="ccSottotetti_AliquotaContributo">#REF!</definedName>
    <definedName name="CCStatoFatto_SupCalcolo" localSheetId="6">'Costo Costruzione'!$M$13</definedName>
    <definedName name="CCStatoFatto_SupCalcolo">'Costo costruzione statofatto'!$L$35</definedName>
    <definedName name="Co_MonAreeParc" localSheetId="3">'Contributo costruzione Hide'!$L$169</definedName>
    <definedName name="Co_MonAreeParc">'Riepilogo oneri e costi'!$L$184</definedName>
    <definedName name="Co_MonAreeStand" localSheetId="3">'Contributo costruzione Hide'!$L$168</definedName>
    <definedName name="Co_MonAreeStand">'Riepilogo oneri e costi'!$L$183</definedName>
    <definedName name="Co_NEdResPrim" localSheetId="3">'Contributo costruzione Hide'!$F$5</definedName>
    <definedName name="Co_NEdResPrim" localSheetId="6">'Riepilogo oneri e costi'!$F$5</definedName>
    <definedName name="Co_NEdResPrim">'Riepilogo oneri e costi'!$F$5</definedName>
    <definedName name="Co_NEdResSec" localSheetId="3">'Contributo costruzione Hide'!$F$6</definedName>
    <definedName name="Co_NEdResSec">'Riepilogo oneri e costi'!$F$6</definedName>
    <definedName name="Co_NEdSottPrim" localSheetId="6">'Riepilogo oneri e costi'!$L$37</definedName>
    <definedName name="Complessivo_ConMagg" localSheetId="3">'Contributo costruzione Hide'!$L$172</definedName>
    <definedName name="Complessivo_ConMagg">'Riepilogo oneri e costi'!$L$187</definedName>
    <definedName name="Costo_costruzione_Corrisposto">'Riepilogo generale'!$E$35</definedName>
    <definedName name="CostoBase">Parametri!$B$103</definedName>
    <definedName name="CostoCost_Nuov_Ampl_EscCorrisposto">'Costo Costruzione'!$F$28</definedName>
    <definedName name="CostoCost_NuovaCost_CcEdificio">'Costo Costruzione'!$F$22</definedName>
    <definedName name="CostoCost_NuovaCost_ContrBaseMinistAliq">'Costo Costruzione'!$E$25</definedName>
    <definedName name="CostoCost_NuovaCost_ContrBaseMinistValore">'Costo Costruzione'!$F$25</definedName>
    <definedName name="CostoCost_NuovaCost_ContrComEstComAliq">'Costo Costruzione'!$E$27</definedName>
    <definedName name="CostoCost_NuovaCost_ContrComEstResAliq">'Costo Costruzione'!$E$26</definedName>
    <definedName name="CostoCost_NuovaCost_SupCompl">'Costo Costruzione'!$F$17</definedName>
    <definedName name="CostoCost_NuovaCostComm_ComputoEstim">'Costo Costruzione'!$F$15</definedName>
    <definedName name="CostoCost_NuovaCostComm_SupCompl">'Costo Costruzione'!$F$14</definedName>
    <definedName name="CostoCost_NuovaCostResid_ComputoEstim">'Costo Costruzione'!$F$8</definedName>
    <definedName name="CostoCost_NuovaCostResid_SupCompl">'Costo Costruzione'!$F$7</definedName>
    <definedName name="CostoCost_NuovaEdif_Dovuto">'Costo Costruzione'!$F$34</definedName>
    <definedName name="CostoCost_Riferimento" localSheetId="3">'Costo Costruzione'!#REF!</definedName>
    <definedName name="CostoCost_Riferimento">'Costo Costruzione'!#REF!</definedName>
    <definedName name="CostoCost_Riferimento_Valore">'Costo Costruzione'!$F$36</definedName>
    <definedName name="CostoCost_Rist_CcEdificio">'Costo Costruzione'!$M$22</definedName>
    <definedName name="CostoCost_Rist_ContrBaseMinistAliq">'Costo Costruzione'!$L$25</definedName>
    <definedName name="CostoCost_Rist_ContrBaseMinistValore">'Costo Costruzione'!$M$25</definedName>
    <definedName name="CostoCost_Rist_ContrComEstComAliq">'Costo Costruzione'!$L$27</definedName>
    <definedName name="CostoCost_Rist_ContrComEstResAliq">'Costo Costruzione'!$L$26</definedName>
    <definedName name="CostoCost_Rist_Resid_ComputoEstim">'Costo Costruzione'!$M$8</definedName>
    <definedName name="CostoCost_Rist_SupCompl">'Costo Costruzione'!$M$17</definedName>
    <definedName name="CostoCost_RistComm_ComputoEstim">'Costo Costruzione'!$M$15</definedName>
    <definedName name="CostoCost_RistComm_SupCompl">'Costo Costruzione'!$M$14</definedName>
    <definedName name="CostoCost_Ristr_EscCorrisposto">'Costo Costruzione'!$M$28</definedName>
    <definedName name="CostoCost_RistrAmpl_Dovuto">'Costo Costruzione'!$M$34</definedName>
    <definedName name="CostoCost_RistResid_SupCompl">'Costo Costruzione'!$M$7</definedName>
    <definedName name="CostoCost_Sot_CcEdificio">'Costo Costruzione'!$R$22</definedName>
    <definedName name="CostoCost_Sot_ContrBaseMinistAliq">'Costo Costruzione'!$Q$25</definedName>
    <definedName name="CostoCost_Sot_ContrComEstResAliq">'Costo Costruzione'!$Q$26</definedName>
    <definedName name="CostoCost_Sot_SupCompl">'Costo Costruzione'!$R$17</definedName>
    <definedName name="CostoCost_Sott_ContEscMagg">'Costo Costruzione'!$R$28</definedName>
    <definedName name="CostoCost_Sott_PercentMagg">'Costo Costruzione'!$R$31</definedName>
    <definedName name="CostoCost_Sottotetti_ComputoEstim">'Costo Costruzione'!$R$8</definedName>
    <definedName name="CostoCost_Sottotetti_ContrBaseMinistValore">'Costo Costruzione'!$R$25</definedName>
    <definedName name="CostoCost_SottotResid_SupCompl">'Costo Costruzione'!$R$7</definedName>
    <definedName name="CostoCostFinale_NuovaCostComm_ComputoEstim">'Costo Costruzione'!$F$27</definedName>
    <definedName name="CostoCostFinale_NuovaCostResid_ComputoEstim">'Costo Costruzione'!$F$26</definedName>
    <definedName name="CostoCostFinale_Rist_Resid_ComputoEstim">'Costo Costruzione'!$M$26</definedName>
    <definedName name="CostoCostFinale_RistComm_ComputoEstim">'Costo Costruzione'!$M$27</definedName>
    <definedName name="CostoCostFinale_Sottotetti_ComputoEstim">'Costo Costruzione'!$R$26</definedName>
    <definedName name="CostoCostProg_ContributoDovuto">'Costo costruzione progetto'!$N$52</definedName>
    <definedName name="CostoCostr_NuovaEdif_corrisposto_concessione_cong">'Costo Costruzione'!$F$31</definedName>
    <definedName name="CostoCostr_NuovaEdif_corrisposto_varianti">'Costo Costruzione'!$F$32</definedName>
    <definedName name="CostoCostr_NuovaEdif_Prog_corrisposto_concessione_cong">'Costo costruzione progetto'!$N$49</definedName>
    <definedName name="CostoCostr_NuovaEdif_Prog_corrisposto_varianti">'Costo costruzione progetto'!$N$50</definedName>
    <definedName name="CostoCostr_NuovaEdif_StFatto_corrisposto_concessione_cong">'Costo costruzione statofatto'!$N$49</definedName>
    <definedName name="CostoCostr_NuovaEdif_StFatto_corrisposto_varianti">'Costo costruzione statofatto'!$N$50</definedName>
    <definedName name="CostoCostr_Prog_StFatto_corrisposto" localSheetId="3">'Contributo costruzione Hide'!$L$150</definedName>
    <definedName name="CostoCostr_Prog_StFatto_corrisposto">'Riepilogo oneri e costi'!$M$174</definedName>
    <definedName name="CostoCostr_Ristrutt_corrisposto_concessione_cong">'Costo Costruzione'!$M$31</definedName>
    <definedName name="CostoCostr_Ristrutt_corrisposto_varianti">'Costo Costruzione'!$M$32</definedName>
    <definedName name="CostoCostStatoFatto_ContributoDovuto">'Costo costruzione statofatto'!$N$52</definedName>
    <definedName name="DatiGen_IntervSanOnerosaForfImp">'Descrizione dell''intervento'!$G$6</definedName>
    <definedName name="DatiGen_ResidenzialeClasseA">'Descrizione dell''intervento'!$G$9</definedName>
    <definedName name="DetCL_DettContCostoCost_SommaIncrementi">'Determinazione classe'!$K$31</definedName>
    <definedName name="DetClasse_Abitanti">Parametri!$C$121</definedName>
    <definedName name="DetClasse_CostoCostruzClasse">'Determinazione classe'!$L$31</definedName>
    <definedName name="DetClasse_CostoMaggiorato">'Determinazione classe'!$N$34</definedName>
    <definedName name="DetClasse_Maggiorazione">'Determinazione classe'!$N$31</definedName>
    <definedName name="DetClasse_NomeMatrice">'Determinazione classe'!$I$2</definedName>
    <definedName name="DetClasse_NomeMatriceMinClassi">'Determinazione classe'!$J$2</definedName>
    <definedName name="DetClasse_SupUtile">'Determinazione classe'!$E$10</definedName>
    <definedName name="DettaglioCostoCostruz_Classe" localSheetId="7">'Costo costruzione statofatto'!$L$32</definedName>
    <definedName name="DettaglioCostoCostruz_Classe">'Costo costruzione progetto'!$L$32</definedName>
    <definedName name="DettaglioCostoCostruz_TipoIntervento" localSheetId="7">'Costo costruzione statofatto'!$D$2</definedName>
    <definedName name="DettaglioCostoCostruz_TipoIntervento">'Costo costruzione progetto'!$D$2</definedName>
    <definedName name="DettContCostoCost_SommaIncrementi">'Costo costruzione progetto'!$K$32</definedName>
    <definedName name="DettContCostoCost_Sottot_Dovuto">'Costo Costruzione'!$R$34</definedName>
    <definedName name="DettCosCostruz_SupCalcolo">'Costo costruzione progetto'!$L$35</definedName>
    <definedName name="DettCosCostruz_SupCalcolo_Sottot">#REF!</definedName>
    <definedName name="EdiliziaConvenzionata">'Descrizione dell''intervento'!$G$7</definedName>
    <definedName name="ElencoZone">Parametri!$B$4:$B$48</definedName>
    <definedName name="ElencoZoneMonetizzazione">Parametri!$B$88:$B$92</definedName>
    <definedName name="ElencoZoneMonetizzazione_Parcheggi">Parametri!$B$96:$B$100</definedName>
    <definedName name="ElencoZoneTerritoriali">Parametri!$B$53:$B$68</definedName>
    <definedName name="ImportoAltriCosti" localSheetId="3">'Contributo costruzione Hide'!$L$170</definedName>
    <definedName name="ImportoAltriCosti" localSheetId="6">'Riepilogo oneri e costi'!#REF!</definedName>
    <definedName name="ImportoAltriCosti" localSheetId="7">'Riepilogo oneri e costi'!#REF!</definedName>
    <definedName name="ImportoAltriCosti" localSheetId="5">'Riepilogo oneri e costi'!#REF!</definedName>
    <definedName name="ImportoAltriCosti">'Riepilogo oneri e costi'!$L$185</definedName>
    <definedName name="ImportoAmmenda" localSheetId="3">'Contributo costruzione Hide'!#REF!</definedName>
    <definedName name="ImportoAmmenda">'Riepilogo oneri e costi'!#REF!</definedName>
    <definedName name="ImportoCostoCostruzione" localSheetId="3">'Contributo costruzione Hide'!$L$145</definedName>
    <definedName name="ImportoCostoCostruzione">'Riepilogo oneri e costi'!$L$167</definedName>
    <definedName name="ImportoCostoCostruzione_AltriCosti" localSheetId="3">'Contributo costruzione Hide'!$M$159</definedName>
    <definedName name="ImportoCostoCostruzione_AltriCosti">'Riepilogo oneri e costi'!#REF!</definedName>
    <definedName name="ImportoCostoCostruzione_conAltriCosti" localSheetId="3">'Contributo costruzione Hide'!$L$161</definedName>
    <definedName name="ImportoCostoCostruzione_conAltriCosti">'Riepilogo oneri e costi'!$L$177</definedName>
    <definedName name="ImportoCostoCostruzione_MaggRiduz" localSheetId="3">'Contributo costruzione Hide'!#REF!</definedName>
    <definedName name="ImportoCostoCostruzione_MaggRiduz">'Riepilogo oneri e costi'!#REF!</definedName>
    <definedName name="ImportoCostoCostruzione_senzaAltriCosti" localSheetId="3">'Contributo costruzione Hide'!$L$153</definedName>
    <definedName name="ImportoCostoCostruzione_senzaAltriCosti">'Riepilogo oneri e costi'!#REF!</definedName>
    <definedName name="ImportoCostoCostruzione_StatoFattoProgetto" localSheetId="3">'Contributo costruzione Hide'!$L$151</definedName>
    <definedName name="ImportoCostoCostruzione_StatoFattoProgetto">'Riepilogo oneri e costi'!$L$175</definedName>
    <definedName name="ImportoOneriSmaltimentoRif" localSheetId="3">'Contributo costruzione Hide'!$L$55</definedName>
    <definedName name="ImportoOneriSmaltimentoRif" localSheetId="6">'Riepilogo oneri e costi'!$M$76</definedName>
    <definedName name="ImportoOneriSmaltimentoRif" localSheetId="7">'Riepilogo oneri e costi'!$M$76</definedName>
    <definedName name="ImportoOneriSmaltimentoRif" localSheetId="5">'Riepilogo oneri e costi'!$M$76</definedName>
    <definedName name="ImportoOneriSmaltimentoRif">'Riepilogo oneri e costi'!$M$76</definedName>
    <definedName name="ImportoOneriSmaltRif_NuovaDest" localSheetId="3">'Contributo costruzione Hide'!$L$113</definedName>
    <definedName name="ImportoOneriSmaltRif_NuovaDest">'Riepilogo oneri e costi'!$L$143</definedName>
    <definedName name="ImportoOneriUrb1" localSheetId="3">'Contributo costruzione Hide'!$L$53</definedName>
    <definedName name="ImportoOneriUrb1">'Riepilogo oneri e costi'!$L$62</definedName>
    <definedName name="ImportoOneriUrb1_NuovaDest" localSheetId="3">'Contributo costruzione Hide'!$L$111</definedName>
    <definedName name="ImportoOneriUrb1_NuovaDest">'Riepilogo oneri e costi'!$L$141</definedName>
    <definedName name="ImportoOneriUrb2" localSheetId="3">'Contributo costruzione Hide'!$L$54</definedName>
    <definedName name="ImportoOneriUrb2">'Riepilogo oneri e costi'!$L$69</definedName>
    <definedName name="ImportoOneriUrb2_NuovaDest" localSheetId="3">'Contributo costruzione Hide'!$L$112</definedName>
    <definedName name="ImportoOneriUrb2_NuovaDest">'Riepilogo oneri e costi'!$L$142</definedName>
    <definedName name="ImportoOneriUrbanizzazione" localSheetId="3">'Contributo costruzione Hide'!$L$57</definedName>
    <definedName name="ImportoOneriUrbanizzazione" localSheetId="6">'Riepilogo oneri e costi'!$L$80</definedName>
    <definedName name="ImportoOneriUrbanizzazione" localSheetId="7">'Riepilogo oneri e costi'!$L$80</definedName>
    <definedName name="ImportoOneriUrbanizzazione" localSheetId="5">'Riepilogo oneri e costi'!$L$80</definedName>
    <definedName name="ImportoOneriUrbanizzazione">'Riepilogo oneri e costi'!$L$80</definedName>
    <definedName name="ImportoOneriUrbanizzazione_AltriCosti" localSheetId="3">'Contributo costruzione Hide'!$L$125</definedName>
    <definedName name="ImportoOneriUrbanizzazione_AltriCosti">'Riepilogo oneri e costi'!#REF!</definedName>
    <definedName name="ImportoOneriUrbanizzazione_NuovaDest" localSheetId="3">'Contributo costruzione Hide'!$L$115</definedName>
    <definedName name="ImportoOneriUrbanizzazione_NuovaDest">'Riepilogo oneri e costi'!$L$145</definedName>
    <definedName name="ImportoOneriUrbanizzazione_Riferimento" localSheetId="3">'Contributo costruzione Hide'!$L$131</definedName>
    <definedName name="ImportoOneriUrbanizzazione_Riferimento">'Riepilogo oneri e costi'!$L$148</definedName>
    <definedName name="ImportoOneriUrbanizzazione_Riferimento_hide">'Contributo costruzione Hide'!$L$131</definedName>
    <definedName name="ImportoOneriUrbPrim_NuovaDest" localSheetId="3">'Contributo costruzione Hide'!$L$111</definedName>
    <definedName name="ImportoOneriUrbPrim_NuovaDest">'Riepilogo oneri e costi'!$L$141</definedName>
    <definedName name="ImportoOneriUrbRecSottPrimaria" localSheetId="3">'Contributo costruzione Hide'!$L$37</definedName>
    <definedName name="ImportoOneriUrbRecSottPrimaria">'Riepilogo oneri e costi'!$L$37</definedName>
    <definedName name="ImportoOneriUrbRecSottPrimaria_NuovaDest" localSheetId="3">'Contributo costruzione Hide'!#REF!</definedName>
    <definedName name="ImportoOneriUrbRecSottPrimaria_NuovaDest">'Riepilogo oneri e costi'!#REF!</definedName>
    <definedName name="ImportoOneriUrbRecSottSecondaria" localSheetId="3">'Contributo costruzione Hide'!$L$38</definedName>
    <definedName name="ImportoOneriUrbRecSottSecondaria">'Riepilogo oneri e costi'!$L$38</definedName>
    <definedName name="ImportoOneriUrbRecSottSecondaria_NuovaDest" localSheetId="3">'Contributo costruzione Hide'!#REF!</definedName>
    <definedName name="ImportoOneriUrbRecSottSecondaria_NuovaDest">'Riepilogo oneri e costi'!#REF!</definedName>
    <definedName name="ImportoSmaltRifiuti_NuovaDest">'Riepilogo oneri e costi'!$L$146</definedName>
    <definedName name="InSanatoria">'Descrizione dell''intervento'!$G$5</definedName>
    <definedName name="link_descrizione_intervento">'Descrizione dell''intervento'!$B$2</definedName>
    <definedName name="link_monetizzazione_standards">'Descrizione dell''intervento'!$B$75</definedName>
    <definedName name="link_oneri_urbanizzazione">'Descrizione dell''intervento'!$B$12</definedName>
    <definedName name="link_oneri_urbanizzazione_cambio_uso">'Descrizione dell''intervento'!$B$58</definedName>
    <definedName name="Maggiorazione" localSheetId="6">'Riepilogo generale'!$E$60</definedName>
    <definedName name="Maggiorazione" localSheetId="7">'Riepilogo generale'!$E$60</definedName>
    <definedName name="Maggiorazione" localSheetId="5">'Riepilogo generale'!$E$60</definedName>
    <definedName name="Maggiorazione">'Riepilogo generale'!$E$60</definedName>
    <definedName name="MatriceParametri">Parametri!$C$4:$AD$48</definedName>
    <definedName name="Monetizz_Aree_sup" localSheetId="6">'Descrizione dell''intervento'!$G$78</definedName>
    <definedName name="Monetizz_Aree_sup" localSheetId="7">'Descrizione dell''intervento'!$G$78</definedName>
    <definedName name="Monetizz_Aree_sup" localSheetId="5">'Descrizione dell''intervento'!$G$78</definedName>
    <definedName name="Monetizz_Aree_sup">'Descrizione dell''intervento'!$G$78</definedName>
    <definedName name="Monetizz_Parcheggi_Sup" localSheetId="6">'Descrizione dell''intervento'!$G$84</definedName>
    <definedName name="Monetizz_Parcheggi_Sup" localSheetId="7">'Descrizione dell''intervento'!$G$84</definedName>
    <definedName name="Monetizz_Parcheggi_Sup" localSheetId="5">'Descrizione dell''intervento'!$G$84</definedName>
    <definedName name="Monetizz_Parcheggi_Sup">'Descrizione dell''intervento'!$G$84</definedName>
    <definedName name="Monetizzazione" localSheetId="3">'Contributo costruzione Hide'!$L$169</definedName>
    <definedName name="Monetizzazione" localSheetId="6">'Riepilogo oneri e costi'!$L$142</definedName>
    <definedName name="Monetizzazione" localSheetId="7">'Riepilogo oneri e costi'!$L$142</definedName>
    <definedName name="Monetizzazione" localSheetId="5">'Riepilogo oneri e costi'!$L$142</definedName>
    <definedName name="Monetizzazione">'Riepilogo oneri e costi'!$L$184</definedName>
    <definedName name="Oneri_RiduzionePianoCasa" localSheetId="3">'Contributo costruzione Hide'!$M$120</definedName>
    <definedName name="Oneri_Urb_Prim_Corrisposti">'Descrizione dell''intervento'!$G$15</definedName>
    <definedName name="oneri_urb_prim_dest_finale" localSheetId="3">'Contributo costruzione Hide'!$J$107</definedName>
    <definedName name="oneri_urb_prim_dest_finale">'Riepilogo oneri e costi'!$J$137</definedName>
    <definedName name="oneri_urb_prim_dest_iniziale" localSheetId="3">'Contributo costruzione Hide'!$F$107</definedName>
    <definedName name="oneri_urb_prim_dest_iniziale">'Riepilogo oneri e costi'!$F$137</definedName>
    <definedName name="Oneri_Urb_Sec_Corrisposti">'Descrizione dell''intervento'!$G$16</definedName>
    <definedName name="oneri_urb_sec_dest_finale" localSheetId="3">'Contributo costruzione Hide'!$J$108</definedName>
    <definedName name="oneri_urb_sec_dest_finale">'Riepilogo oneri e costi'!$J$138</definedName>
    <definedName name="oneri_urb_sec_dest_iniziale" localSheetId="3">'Contributo costruzione Hide'!$F$108</definedName>
    <definedName name="oneri_urb_sec_dest_iniziale">'Riepilogo oneri e costi'!$F$138</definedName>
    <definedName name="OneriTotali" localSheetId="3">'Contributo costruzione Hide'!#REF!</definedName>
    <definedName name="OneriTotali" localSheetId="6">'Riepilogo oneri e costi'!$L$149</definedName>
    <definedName name="OneriTotali" localSheetId="7">'Riepilogo oneri e costi'!$L$149</definedName>
    <definedName name="OneriTotali" localSheetId="5">'Riepilogo oneri e costi'!$L$149</definedName>
    <definedName name="OneriTotali">'Riepilogo oneri e costi'!#REF!</definedName>
    <definedName name="OnPrim_RiduzionePianoCasa">'Riepilogo oneri e costi'!$M$65</definedName>
    <definedName name="OnSec_RiduzionePianoCasa">'Riepilogo oneri e costi'!$M$72</definedName>
    <definedName name="OnUrb_AltriCosti_DescMaggCostoCAreeAgr" localSheetId="3">'Contributo costruzione Hide'!$B$166</definedName>
    <definedName name="OnUrb_AltriCosti_DescMaggCostoCAreeAgr">'Riepilogo oneri e costi'!$B$181</definedName>
    <definedName name="OnUrb_AltriCosti_ValoreMaggCostoCAreeAgr" localSheetId="3">'Contributo costruzione Hide'!$M$166</definedName>
    <definedName name="OnUrb_AltriCosti_ValoreMaggCostoCAreeAgr">'Riepilogo oneri e costi'!$M$181</definedName>
    <definedName name="opzioni">Parametri!$I$88:$I$89</definedName>
    <definedName name="Ou_Cost_AttCulSan_NuovaEdif">'Descrizione dell''intervento'!$G$25</definedName>
    <definedName name="Ou_Cost_AttSpett_NuovaEdif">'Descrizione dell''intervento'!$G$27</definedName>
    <definedName name="Ou_Cost_AttSport_NuovaEdif">'Descrizione dell''intervento'!$G$26</definedName>
    <definedName name="Ou_Cost_Comm_NuovaEdif">'Descrizione dell''intervento'!$G$21</definedName>
    <definedName name="Ou_Cost_IndAlb_NuovaEdif">'Descrizione dell''intervento'!$G$23</definedName>
    <definedName name="Ou_Cost_IndArt_NuovaEdif">'Descrizione dell''intervento'!$G$22</definedName>
    <definedName name="Ou_Cost_Parc_NuovaEdif">'Descrizione dell''intervento'!$G$24</definedName>
    <definedName name="Ou_Cost_Personalizzazione1_NuovaEdif">'Descrizione dell''intervento'!$G$28</definedName>
    <definedName name="Ou_Cost_Personalizzazione2_NuovaEdif">'Descrizione dell''intervento'!$G$29</definedName>
    <definedName name="Ou_Cost_Personalizzazione3_NuovaEdif">'Descrizione dell''intervento'!$G$30</definedName>
    <definedName name="Ou_Cost_Personalizzazione4_NuovaEdif">'Descrizione dell''intervento'!$G$31</definedName>
    <definedName name="Ou_Cost_Personalizzazione5_NuovaEdif">'Descrizione dell''intervento'!$G$32</definedName>
    <definedName name="Ou_Cost_Res_NuovaEdif">'Descrizione dell''intervento'!$G$20</definedName>
    <definedName name="Ou_NuovaEd_AreaAgricola">'Descrizione dell''intervento'!$D$40</definedName>
    <definedName name="Ou_NuovaEd_AreaAgricolaPerc">'Descrizione dell''intervento'!$G$40</definedName>
    <definedName name="Ou_NuovaEd_AreaAgricolaSupAreaAg">'Descrizione dell''intervento'!$F$40</definedName>
    <definedName name="Ou_NuovaEd_AreaAgricolaSupLotto">'Descrizione dell''intervento'!$E$40</definedName>
    <definedName name="Ou_NuovaEd_AttSpet_CompMet" localSheetId="3">'Descrizione dell''intervento'!#REF!</definedName>
    <definedName name="Ou_NuovaEd_AttSpet_CompMet">'Descrizione dell''intervento'!#REF!</definedName>
    <definedName name="Ou_NuovaEd_AttSpet_ParReale">'Descrizione dell''intervento'!$D$27</definedName>
    <definedName name="Ou_NuovaEd_AttSpet_ParVirt">'Descrizione dell''intervento'!$G$67</definedName>
    <definedName name="Ou_NuovaEd_AttSpor_CompMet" localSheetId="3">'Descrizione dell''intervento'!#REF!</definedName>
    <definedName name="Ou_NuovaEd_AttSpor_CompMet">'Descrizione dell''intervento'!#REF!</definedName>
    <definedName name="Ou_NuovaEd_AttSpor_ParReale">'Descrizione dell''intervento'!$D$26</definedName>
    <definedName name="Ou_NuovaEd_AttSpor_ParVirt">'Descrizione dell''intervento'!$G$66</definedName>
    <definedName name="Ou_NuovaEd_Com_CompMet" localSheetId="6">'Descrizione dell''intervento'!#REF!</definedName>
    <definedName name="Ou_NuovaEd_Com_CompMet" localSheetId="7">'Descrizione dell''intervento'!#REF!</definedName>
    <definedName name="Ou_NuovaEd_Com_CompMet" localSheetId="5">'Descrizione dell''intervento'!#REF!</definedName>
    <definedName name="Ou_NuovaEd_Com_ParReale">'Descrizione dell''intervento'!$D$21</definedName>
    <definedName name="Ou_NuovaEd_Com_ParVirt">'Descrizione dell''intervento'!$G$61</definedName>
    <definedName name="Ou_NuovaEd_CultSan_CompMet" localSheetId="3">'Descrizione dell''intervento'!#REF!</definedName>
    <definedName name="Ou_NuovaEd_CultSan_CompMet">'Descrizione dell''intervento'!#REF!</definedName>
    <definedName name="Ou_NuovaEd_CultSan_ParReale">'Descrizione dell''intervento'!$D$25</definedName>
    <definedName name="Ou_NuovaEd_CultSan_ParVirt">'Descrizione dell''intervento'!$G$65</definedName>
    <definedName name="Ou_NuovaEd_IndAlb_CompMet" localSheetId="3">'Descrizione dell''intervento'!#REF!</definedName>
    <definedName name="Ou_NuovaEd_IndAlb_CompMet">'Descrizione dell''intervento'!#REF!</definedName>
    <definedName name="Ou_NuovaEd_IndAlb_ParReale">'Descrizione dell''intervento'!$D$23</definedName>
    <definedName name="Ou_NuovaEd_IndAlb_ParVirt">'Descrizione dell''intervento'!$G$63</definedName>
    <definedName name="Ou_NuovaEd_IndArt_CompMet" localSheetId="3">'Descrizione dell''intervento'!#REF!</definedName>
    <definedName name="Ou_NuovaEd_IndArt_CompMet">'Descrizione dell''intervento'!#REF!</definedName>
    <definedName name="Ou_NuovaEd_IndArt_ParReale">'Descrizione dell''intervento'!$D$22</definedName>
    <definedName name="Ou_NuovaEd_IndArt_ParVirt">'Descrizione dell''intervento'!$G$62</definedName>
    <definedName name="Ou_NuovaEd_ParSil_CompMet" localSheetId="3">'Descrizione dell''intervento'!#REF!</definedName>
    <definedName name="Ou_NuovaEd_ParSil_CompMet">'Descrizione dell''intervento'!#REF!</definedName>
    <definedName name="Ou_NuovaEd_ParSil_ParReale">'Descrizione dell''intervento'!$D$24</definedName>
    <definedName name="Ou_NuovaEd_ParSil_ParVirt">'Descrizione dell''intervento'!$G$64</definedName>
    <definedName name="Ou_NuovaEd_Person1_ParVirt">'Descrizione dell''intervento'!$G$68</definedName>
    <definedName name="Ou_NuovaEd_Person2_ParVirt">'Descrizione dell''intervento'!$G$69</definedName>
    <definedName name="Ou_NuovaEd_Person3_ParVirt">'Descrizione dell''intervento'!$G$70</definedName>
    <definedName name="Ou_NuovaEd_Person4_ParVirt">'Descrizione dell''intervento'!$G$71</definedName>
    <definedName name="Ou_NuovaEd_Person5_ParVirt">'Descrizione dell''intervento'!$G$72</definedName>
    <definedName name="Ou_NuovaEd_Res_ParVirt">'Descrizione dell''intervento'!$G$60</definedName>
    <definedName name="Ou_NuovaEd_Sottotetti_ParReale">'Descrizione dell''intervento'!$G$36</definedName>
    <definedName name="Ou_NuovaEd_Sottotetti_ParVirt">'Descrizione dell''intervento'!$E$73</definedName>
    <definedName name="Ou_NuovaEd_SottotettiNonAbit_ParReale" localSheetId="3">'Descrizione dell''intervento'!#REF!</definedName>
    <definedName name="Ou_NuovaEd_SottotettiNonAbit_ParReale" localSheetId="6">'Descrizione dell''intervento'!#REF!</definedName>
    <definedName name="Ou_NuovaEd_SottotettiNonAbit_ParReale" localSheetId="7">'Descrizione dell''intervento'!#REF!</definedName>
    <definedName name="Ou_NuovaEd_SottotettiNonAbit_ParReale" localSheetId="5">'Descrizione dell''intervento'!#REF!</definedName>
    <definedName name="Ou_NuovaEd_SottotettiNonAbit_ParReale">'Descrizione dell''intervento'!#REF!</definedName>
    <definedName name="Ou_PrimariaDefiniti">'Descrizione dell''intervento'!$G$13</definedName>
    <definedName name="Ou_Rist_AttSpet">'Descrizione dell''intervento'!$G$51</definedName>
    <definedName name="Ou_Rist_AttSpet_CompMet">'Descrizione dell''intervento'!$F$51</definedName>
    <definedName name="Ou_Rist_AttSpet_ParReale">'Descrizione dell''intervento'!$D$51</definedName>
    <definedName name="Ou_Rist_AttSpet_ParVirt">'Descrizione dell''intervento'!$E$51</definedName>
    <definedName name="Ou_Rist_AttSpor">'Descrizione dell''intervento'!$G$50</definedName>
    <definedName name="Ou_Rist_AttSpor_CompMet">'Descrizione dell''intervento'!$F$50</definedName>
    <definedName name="Ou_Rist_AttSpor_ParReale">'Descrizione dell''intervento'!$D$50</definedName>
    <definedName name="Ou_Rist_AttSpor_ParVirt">'Descrizione dell''intervento'!$E$50</definedName>
    <definedName name="Ou_Rist_Com">'Descrizione dell''intervento'!$G$45</definedName>
    <definedName name="Ou_Rist_Com_CompMet">'Descrizione dell''intervento'!$F$45</definedName>
    <definedName name="Ou_Rist_Com_ParReale">'Descrizione dell''intervento'!$D$45</definedName>
    <definedName name="Ou_Rist_Com_ParVirt">'Descrizione dell''intervento'!$E$45</definedName>
    <definedName name="Ou_Rist_CultSan">'Descrizione dell''intervento'!$G$49</definedName>
    <definedName name="Ou_Rist_CultSan_CompMet">'Descrizione dell''intervento'!$F$49</definedName>
    <definedName name="Ou_Rist_CultSan_ParReale">'Descrizione dell''intervento'!$D$49</definedName>
    <definedName name="Ou_Rist_CultSan_ParVirt">'Descrizione dell''intervento'!$E$49</definedName>
    <definedName name="Ou_Rist_IndAlb">'Descrizione dell''intervento'!$G$47</definedName>
    <definedName name="Ou_Rist_IndAlb_CompMet">'Descrizione dell''intervento'!$F$47</definedName>
    <definedName name="Ou_Rist_IndAlb_ParReale">'Descrizione dell''intervento'!$D$47</definedName>
    <definedName name="Ou_Rist_IndAlb_ParVirt">'Descrizione dell''intervento'!$E$47</definedName>
    <definedName name="Ou_Rist_IndArt">'Descrizione dell''intervento'!$G$46</definedName>
    <definedName name="Ou_Rist_IndArt_CompMet">'Descrizione dell''intervento'!$F$46</definedName>
    <definedName name="Ou_Rist_IndArt_ParReale">'Descrizione dell''intervento'!$D$46</definedName>
    <definedName name="Ou_Rist_IndArt_ParVirt">'Descrizione dell''intervento'!$E$46</definedName>
    <definedName name="Ou_Rist_ParSil">'Descrizione dell''intervento'!$G$48</definedName>
    <definedName name="Ou_Rist_ParSil_CompMet">'Descrizione dell''intervento'!$F$48</definedName>
    <definedName name="Ou_Rist_ParSil_ParReale">'Descrizione dell''intervento'!$D$48</definedName>
    <definedName name="Ou_Rist_ParSil_ParVirt">'Descrizione dell''intervento'!$E$48</definedName>
    <definedName name="Ou_Rist_Personalizzazione1">'Descrizione dell''intervento'!$G$52</definedName>
    <definedName name="Ou_Rist_Personalizzazione1_CompMet">'Descrizione dell''intervento'!$F$52</definedName>
    <definedName name="Ou_Rist_Personalizzazione1_ParReale">'Descrizione dell''intervento'!$D$52</definedName>
    <definedName name="Ou_Rist_Personalizzazione1_ParVirt">'Descrizione dell''intervento'!$E$52</definedName>
    <definedName name="Ou_Rist_Personalizzazione2">'Descrizione dell''intervento'!$G$53</definedName>
    <definedName name="Ou_Rist_Personalizzazione2_CompMet">'Descrizione dell''intervento'!$F$53</definedName>
    <definedName name="Ou_Rist_Personalizzazione2_ParReale">'Descrizione dell''intervento'!$D$53</definedName>
    <definedName name="Ou_Rist_Personalizzazione2_ParVirt">'Descrizione dell''intervento'!$E$53</definedName>
    <definedName name="Ou_Rist_Personalizzazione3">'Descrizione dell''intervento'!$G$54</definedName>
    <definedName name="Ou_Rist_Personalizzazione3_CompMet">'Descrizione dell''intervento'!$F$54</definedName>
    <definedName name="Ou_Rist_Personalizzazione3_ParReale">'Descrizione dell''intervento'!$D$54</definedName>
    <definedName name="Ou_Rist_Personalizzazione3_ParVirt">'Descrizione dell''intervento'!$E$54</definedName>
    <definedName name="Ou_Rist_Personalizzazione4">'Descrizione dell''intervento'!$G$55</definedName>
    <definedName name="Ou_Rist_Personalizzazione4_CompMet">'Descrizione dell''intervento'!$F$55</definedName>
    <definedName name="Ou_Rist_Personalizzazione4_ParReale">'Descrizione dell''intervento'!$D$55</definedName>
    <definedName name="Ou_Rist_Personalizzazione4_ParVirt">'Descrizione dell''intervento'!$E$55</definedName>
    <definedName name="Ou_Rist_Personalizzazione5">'Descrizione dell''intervento'!$G$56</definedName>
    <definedName name="Ou_Rist_Personalizzazione5_CompMet">'Descrizione dell''intervento'!$F$56</definedName>
    <definedName name="Ou_Rist_Personalizzazione5_ParReale">'Descrizione dell''intervento'!$D$56</definedName>
    <definedName name="Ou_Rist_Personalizzazione5_ParVirt">'Descrizione dell''intervento'!$E$56</definedName>
    <definedName name="Ou_Rist_Res">'Descrizione dell''intervento'!$G$44</definedName>
    <definedName name="Ou_Rist_Res_CompMet">'Descrizione dell''intervento'!$F$44</definedName>
    <definedName name="Ou_Rist_Res_ParReale" localSheetId="6">'Descrizione dell''intervento'!$D$44</definedName>
    <definedName name="Ou_Rist_Res_ParReale" localSheetId="7">'Descrizione dell''intervento'!$D$44</definedName>
    <definedName name="Ou_Rist_Res_ParReale" localSheetId="5">'Descrizione dell''intervento'!$D$44</definedName>
    <definedName name="Ou_Rist_Res_ParReale">'Descrizione dell''intervento'!$D$44</definedName>
    <definedName name="Ou_Rist_Res_ParVirt">'Descrizione dell''intervento'!$E$44</definedName>
    <definedName name="Ou_SecDefiniti">'Descrizione dell''intervento'!$G$14</definedName>
    <definedName name="Ou_UsoIniziale_AttSpet_ParVirt">'Descrizione dell''intervento'!$F$67</definedName>
    <definedName name="Ou_UsoIniziale_AttSpor_ParVirt">'Descrizione dell''intervento'!$F$66</definedName>
    <definedName name="Ou_UsoIniziale_Com_ParVirt">'Descrizione dell''intervento'!$F$61</definedName>
    <definedName name="Ou_UsoIniziale_CultSan_ParVirt">'Descrizione dell''intervento'!$F$65</definedName>
    <definedName name="Ou_UsoIniziale_IndAlb_ParVirt">'Descrizione dell''intervento'!$F$63</definedName>
    <definedName name="Ou_UsoIniziale_IndArt_ParVirt">'Descrizione dell''intervento'!$F$62</definedName>
    <definedName name="Ou_UsoIniziale_ParSil_ParVirt">'Descrizione dell''intervento'!$F$64</definedName>
    <definedName name="Ou_UsoIniziale_Person1_ParVirt">'Descrizione dell''intervento'!$F$68</definedName>
    <definedName name="Ou_UsoIniziale_Person2_ParVirt">'Descrizione dell''intervento'!$F$69</definedName>
    <definedName name="Ou_UsoIniziale_Person3_ParVirt">'Descrizione dell''intervento'!$F$70</definedName>
    <definedName name="Ou_UsoIniziale_Person4_ParVirt">'Descrizione dell''intervento'!$F$71</definedName>
    <definedName name="Ou_UsoIniziale_Person5_ParVirt">'Descrizione dell''intervento'!$F$72</definedName>
    <definedName name="Ou_UsoIniziale_Res_ParVirt">'Descrizione dell''intervento'!$F$60</definedName>
    <definedName name="Par_PianoCasa_Rid">Parametri!$B$116</definedName>
    <definedName name="Par_PianoCasa_RidCC">Parametri!$C$116</definedName>
    <definedName name="Parametri_Aliquota_terziario_nuova_costr">Parametri!$B$107</definedName>
    <definedName name="Parametri_Aliquota_terziario_ristrutt">Parametri!$C$107</definedName>
    <definedName name="Parametri_Classi">Parametri!$B$125:$G$135</definedName>
    <definedName name="Parametri_ClassiSopr50000Ab">Parametri!$B$139:$G$149</definedName>
    <definedName name="Parametri_ColonnaDesinazione1">Parametri!$C$2</definedName>
    <definedName name="Parametri_DestUsoPersonalizzazione1">Parametri!$C$72</definedName>
    <definedName name="Parametri_DestUsoPersonalizzazione10">Parametri!$C$81</definedName>
    <definedName name="Parametri_DestUsoPersonalizzazione11">Parametri!$C$82</definedName>
    <definedName name="Parametri_DestUsoPersonalizzazione12">Parametri!$C$83</definedName>
    <definedName name="Parametri_DestUsoPersonalizzazione13">Parametri!$C$84</definedName>
    <definedName name="Parametri_DestUsoPersonalizzazione2">Parametri!$C$73</definedName>
    <definedName name="Parametri_DestUsoPersonalizzazione3">Parametri!$C$74</definedName>
    <definedName name="Parametri_DestUsoPersonalizzazione4">Parametri!$C$75</definedName>
    <definedName name="Parametri_DestUsoPersonalizzazione5">Parametri!$C$76</definedName>
    <definedName name="Parametri_DestUsoPersonalizzazione6">Parametri!$C$77</definedName>
    <definedName name="Parametri_DestUsoPersonalizzazione7">Parametri!$C$78</definedName>
    <definedName name="Parametri_DestUsoPersonalizzazione8">Parametri!$C$79</definedName>
    <definedName name="Parametri_DestUsoPersonalizzazione9">Parametri!$C$80</definedName>
    <definedName name="Parametri_DirittiTecnici" localSheetId="3">Parametri!#REF!</definedName>
    <definedName name="Parametri_DirittiTecnici">Parametri!#REF!</definedName>
    <definedName name="Parametri_DirSegrUnitario" localSheetId="3">Parametri!#REF!</definedName>
    <definedName name="Parametri_DirSegrUnitario">Parametri!#REF!</definedName>
    <definedName name="Parametri_ElencoZoneMatrice">Parametri!$B$88:$E$92</definedName>
    <definedName name="Parametri_ElencoZoneMonetizzAreeStandDesc">Parametri!$C$88:$C$92</definedName>
    <definedName name="Parametri_ElencoZoneMonetizzParcheggiDesc">Parametri!$C$96:$C$100</definedName>
    <definedName name="Parametri_ElencoZoneParcheggiMatrice">Parametri!$B$96:$E$100</definedName>
    <definedName name="Parametri_ElencoZoneTerritorialiDesc">Parametri!$C$53:$C$68</definedName>
    <definedName name="Parametri_MaggiorazioneAreeAgric">Parametri!$B$119</definedName>
    <definedName name="Parametri_MaggiorazioneSottotetti">Parametri!$B$111</definedName>
    <definedName name="Parametri_MaggiorazioneSottotettiAZone">Parametri!$B$112</definedName>
    <definedName name="Parametri_MaggiorazioneSottotettiCC">Parametri!$C$111</definedName>
    <definedName name="Parametri_MaggiorazioneSottotettiCCAZone">Parametri!$C$112</definedName>
    <definedName name="Parametri_MaggiorazioneSottotettiF2" localSheetId="3">Parametri!#REF!</definedName>
    <definedName name="Parametri_MaggiorazioneSottotettiF2">Parametri!#REF!</definedName>
    <definedName name="Parametri_MaxClassi">Parametri!$D$125:$D$135</definedName>
    <definedName name="Parametri_MaxClassiSopr50000Ab">Parametri!$D$139:$D$149</definedName>
    <definedName name="Parametri_MinClassi">Parametri!$C$125:$C$135</definedName>
    <definedName name="Parametri_MinClassiSopr50000Ab">Parametri!$C$139:$C$149</definedName>
    <definedName name="Parametri_MonetizzazioneAreeStand">Parametri!$C$88:$E$92</definedName>
    <definedName name="Parametri_MonetizzazioneParcheggi">Parametri!$C$96:$E$100</definedName>
    <definedName name="Parcheggio_Recupero_Sottotetti">'Calcolo superficie parcheggio'!$D$23</definedName>
    <definedName name="passo_descrizione_intervento">'Procedura guidata (Office 2007)'!$X$3</definedName>
    <definedName name="PianoCasa">'Descrizione dell''intervento'!$G$8</definedName>
    <definedName name="Riep_DatiProg_EvSupSottRec">'Riepilogo generale'!$E$63</definedName>
    <definedName name="Riep_DatiProg_SupComp">'Riepilogo generale'!$E$61</definedName>
    <definedName name="Riepilogo_AltriCosti">'Riepilogo generale'!$E$53</definedName>
    <definedName name="Riepilogo_Ammenda" localSheetId="3">'Riepilogo generale'!#REF!</definedName>
    <definedName name="Riepilogo_Ammenda">'Riepilogo generale'!#REF!</definedName>
    <definedName name="Riepilogo_CC_AltriCosti_ValoreMaggCostoCAreeAgr">'Riepilogo generale'!$E$51</definedName>
    <definedName name="Riepilogo_Cc_OneriSmaltRifiutiRif">'Riepilogo generale'!$E$25</definedName>
    <definedName name="Riepilogo_CC_RiduzionePianoCasa">'Riepilogo generale'!$E$34</definedName>
    <definedName name="Riepilogo_CC_SanzioneSmaltimentoRifiuti">'Riepilogo generale'!$E$24</definedName>
    <definedName name="Riepilogo_ContCostCompresaMagg">'Riepilogo generale'!$E$55</definedName>
    <definedName name="Riepilogo_Contributo_costruzione">'Riepilogo generale'!$E$44</definedName>
    <definedName name="Riepilogo_CostoCostEsclusoSott">'Riepilogo generale'!$E$30</definedName>
    <definedName name="Riepilogo_CostoCostruzione">'Riepilogo generale'!$E$36</definedName>
    <definedName name="Riepilogo_CostoCostruzione_StatoFattoProgetto">'Riepilogo generale'!$E$40</definedName>
    <definedName name="Riepilogo_CostoCostruzione_totale">'Riepilogo generale'!$E$42</definedName>
    <definedName name="Riepilogo_CostoCostSott">'Riepilogo generale'!$E$31</definedName>
    <definedName name="Riepilogo_DirittiTecnici">'Riepilogo generale'!$E$52</definedName>
    <definedName name="Riepilogo_MaggCostoCostSott">'Riepilogo generale'!$E$32</definedName>
    <definedName name="Riepilogo_MaggOneriUrbPrimSott">'Riepilogo generale'!$E$7</definedName>
    <definedName name="Riepilogo_MaggOneriUrbSecSott">'Riepilogo generale'!$E$16</definedName>
    <definedName name="Riepilogo_MonetizzAreeStand">'Riepilogo generale'!$E$48</definedName>
    <definedName name="Riepilogo_MonetizzParcheggi">'Riepilogo generale'!$E$49</definedName>
    <definedName name="Riepilogo_Oneri_RiduzionePianoCasa">'Riepilogo generale'!#REF!</definedName>
    <definedName name="Riepilogo_Oneri_Urb_Prim_Corrisposti">'Riepilogo generale'!$E$10</definedName>
    <definedName name="Riepilogo_Oneri_Urb_Sec_Corrisposti">'Riepilogo generale'!$E$19</definedName>
    <definedName name="Riepilogo_OneriSecPrim">'Riepilogo generale'!$E$20</definedName>
    <definedName name="Riepilogo_OneriSmaltRifiutiCambioUso">'Riepilogo generale'!$E$23</definedName>
    <definedName name="Riepilogo_OneriSmaltRifiutiRif">'Riepilogo generale'!$E$22</definedName>
    <definedName name="Riepilogo_OneriUrbanizzazione">'Riepilogo generale'!$E$27</definedName>
    <definedName name="Riepilogo_OneriUrbPrim">'Riepilogo generale'!$E$11</definedName>
    <definedName name="Riepilogo_OneriUrbPrimCambioUso">'Riepilogo generale'!$E$5</definedName>
    <definedName name="Riepilogo_OneriUrbPrimEsclusoSott">'Riepilogo generale'!$E$4</definedName>
    <definedName name="Riepilogo_OneriUrbPrimSott">'Riepilogo generale'!$E$6</definedName>
    <definedName name="Riepilogo_OneriUrbSecCambioUso">'Riepilogo generale'!$E$14</definedName>
    <definedName name="Riepilogo_OneriUrbSecEsclusoSott">'Riepilogo generale'!$E$13</definedName>
    <definedName name="Riepilogo_OneriUrbSecSott">'Riepilogo generale'!$E$15</definedName>
    <definedName name="Riepilogo_OnUrb_AltriCosti_ValoreMaggCostoCAreeAgr">'Riepilogo generale'!$E$50</definedName>
    <definedName name="Riepilogo_RiduPianoCasaOneriUrbPrim">'Riepilogo generale'!$E$9</definedName>
    <definedName name="Riepilogo_RiduPianoCasaOneriUrbSec">'Riepilogo generale'!$E$18</definedName>
    <definedName name="Riepilogo_Sanzione">'Riepilogo generale'!$E$47</definedName>
    <definedName name="Riepilogo_SanzioneCostoCostruzione">'Riepilogo generale'!$E$33</definedName>
    <definedName name="Riepilogo_SanzioneOneriUrbPrim">'Riepilogo generale'!$E$8</definedName>
    <definedName name="Riepilogo_SanzioneOneriUrbSec">'Riepilogo generale'!$E$17</definedName>
    <definedName name="Riepilogo_ulteriori_oneri">'Riepilogo generale'!#REF!</definedName>
    <definedName name="RisparmioEnergetico_VolumeNettoResid" localSheetId="3">'Descrizione dell''intervento'!#REF!</definedName>
    <definedName name="RisparmioEnergetico_VolumeNettoResid" localSheetId="6">'Descrizione dell''intervento'!#REF!</definedName>
    <definedName name="RisparmioEnergetico_VolumeNettoResid" localSheetId="7">'Descrizione dell''intervento'!#REF!</definedName>
    <definedName name="RisparmioEnergetico_VolumeNettoResid" localSheetId="5">'Descrizione dell''intervento'!#REF!</definedName>
    <definedName name="RisparmioEnergetico_VolumeNettoResid">'Descrizione dell''intervento'!#REF!</definedName>
    <definedName name="RistruttEdil_IndusAlberg_CambioDest">'Descrizione dell''intervento'!$G$73</definedName>
    <definedName name="selezione_ampliamento">'Procedura guidata (Office 2007)'!$L$8</definedName>
    <definedName name="selezione_calcolo_completo">'Procedura guidata (Office 2007)'!$W$41</definedName>
    <definedName name="selezione_cambio_uso">'Procedura guidata (Office 2007)'!$AQ$8</definedName>
    <definedName name="selezione_costo_costr_comp_nuova_costruzione">'Procedura guidata (Office 2007)'!#REF!</definedName>
    <definedName name="selezione_costo_costr_comp_ristrutturazione">'Procedura guidata (Office 2007)'!$W$27</definedName>
    <definedName name="selezione_costo_costr_standard_ampliamento">'Procedura guidata (Office 2007)'!$M$15</definedName>
    <definedName name="selezione_costo_costr_standard_cambio_uso">'Procedura guidata (Office 2007)'!$AR$15</definedName>
    <definedName name="selezione_costo_costr_standard_nuova_costruzione">'Procedura guidata (Office 2007)'!$C$15</definedName>
    <definedName name="selezione_costo_costr_standard_ristrutturazione">'Procedura guidata (Office 2007)'!$W$15</definedName>
    <definedName name="selezione_costo_costr_standard_sottotetti">'Procedura guidata (Office 2007)'!$AH$15</definedName>
    <definedName name="selezione_descrizione_intervento">'Procedura guidata (Office 2007)'!#REF!</definedName>
    <definedName name="selezione_monetizzazione_ampliamento">'Procedura guidata (Office 2007)'!$M$27</definedName>
    <definedName name="selezione_monetizzazione_cambio_uso">'Procedura guidata (Office 2007)'!$AR$27</definedName>
    <definedName name="selezione_monetizzazione_nuova_costr">'Procedura guidata (Office 2007)'!$C$27</definedName>
    <definedName name="selezione_monetizzazione_sottotetti">'Procedura guidata (Office 2007)'!$AH$31</definedName>
    <definedName name="selezione_nuova_costr_calcolo_costo">'Procedura guidata (Office 2007)'!#REF!</definedName>
    <definedName name="selezione_nuova_costr_classe">'Procedura guidata (Office 2007)'!#REF!</definedName>
    <definedName name="selezione_nuova_costr_progetto">'Procedura guidata (Office 2007)'!$D$35</definedName>
    <definedName name="selezione_nuova_costr_stato_fatto">'Procedura guidata (Office 2007)'!$D$31</definedName>
    <definedName name="selezione_nuova_costruzione">'Procedura guidata (Office 2007)'!$B$8</definedName>
    <definedName name="selezione_oneri_ampliamento">'Procedura guidata (Office 2007)'!$M$11</definedName>
    <definedName name="selezione_oneri_cambio_uso">'Procedura guidata (Office 2007)'!$AR$11</definedName>
    <definedName name="selezione_oneri_nuova_costruzione">'Procedura guidata (Office 2007)'!$C$11</definedName>
    <definedName name="selezione_oneri_ristrutturazione">'Procedura guidata (Office 2007)'!$W$11</definedName>
    <definedName name="selezione_oneri_sottotetti">'Procedura guidata (Office 2007)'!$AH$11</definedName>
    <definedName name="selezione_parcheggi_sottotetti">'Procedura guidata (Office 2007)'!$AH$27</definedName>
    <definedName name="selezione_passo_descrizione_intervento">'Procedura guidata (Office 2007)'!$W$3</definedName>
    <definedName name="selezione_ristrutt_calcolo_costo">'Procedura guidata (Office 2007)'!#REF!</definedName>
    <definedName name="selezione_ristrutt_classe">'Procedura guidata (Office 2007)'!#REF!</definedName>
    <definedName name="selezione_ristrutt_progetto">'Procedura guidata (Office 2007)'!#REF!</definedName>
    <definedName name="selezione_ristrutt_stato_fatto">'Procedura guidata (Office 2007)'!#REF!</definedName>
    <definedName name="selezione_ristrutturazione">'Procedura guidata (Office 2007)'!$V$8</definedName>
    <definedName name="selezione_sottotetti">'Procedura guidata (Office 2007)'!$AG$8</definedName>
    <definedName name="smalt_rifiuti_dest_finale" localSheetId="3">'Contributo costruzione Hide'!$J$109</definedName>
    <definedName name="smalt_rifiuti_dest_finale">'Riepilogo oneri e costi'!$J$139</definedName>
    <definedName name="smalt_rifiuti_dest_iniziale" localSheetId="3">'Contributo costruzione Hide'!$F$109</definedName>
    <definedName name="smalt_rifiuti_dest_iniziale">'Riepilogo oneri e costi'!$F$139</definedName>
    <definedName name="Solo1_DirittoSegreteria" localSheetId="7">Solo1!#REF!</definedName>
    <definedName name="Test">Parametri!$H$88:$K$92</definedName>
    <definedName name="TotaleIncrementi" localSheetId="6">'Riepilogo generale'!$E$58</definedName>
    <definedName name="TotaleIncrementi" localSheetId="7">'Riepilogo generale'!$E$58</definedName>
    <definedName name="TotaleIncrementi" localSheetId="5">'Riepilogo generale'!$E$58</definedName>
    <definedName name="TotaleIncrementi">'Riepilogo generale'!$E$58</definedName>
    <definedName name="UIrecuperate">'Riepilogo generale'!$E$68</definedName>
    <definedName name="Volume_Recupero_Sottotetti">'Calcolo superficie parcheggio'!$C$23</definedName>
    <definedName name="Zona1">Parametri!$B$54</definedName>
    <definedName name="Zona10">Parametri!$B$63</definedName>
    <definedName name="Zona11">Parametri!$B$64</definedName>
    <definedName name="Zona12">Parametri!$B$65</definedName>
    <definedName name="Zona13">Parametri!$B$66</definedName>
    <definedName name="Zona14">Parametri!$B$67</definedName>
    <definedName name="Zona15">Parametri!$B$68</definedName>
    <definedName name="Zona2">Parametri!$B$55</definedName>
    <definedName name="Zona3">Parametri!$B$56</definedName>
    <definedName name="Zona4">Parametri!$B$57</definedName>
    <definedName name="Zona5">Parametri!$B$58</definedName>
    <definedName name="Zona6">Parametri!$B$59</definedName>
    <definedName name="Zona7">Parametri!$B$60</definedName>
    <definedName name="Zona8">Parametri!$B$61</definedName>
    <definedName name="Zona9">Parametri!$B$62</definedName>
    <definedName name="ZonaMonetizzazioneAreeStand">'Descrizione dell''intervento'!$G$76</definedName>
    <definedName name="ZonaMonetizzazioneAreeStand_Valore" localSheetId="3">'Contributo costruzione Hide'!$O$168</definedName>
    <definedName name="ZonaMonetizzazioneAreeStand_Valore">'Riepilogo oneri e costi'!$O$183</definedName>
    <definedName name="ZonaMonetizzazioneParcheg">'Descrizione dell''intervento'!$G$82</definedName>
    <definedName name="ZonaMonetizzazioneParcheggi_Valore" localSheetId="3">'Contributo costruzione Hide'!$O$169</definedName>
    <definedName name="ZonaMonetizzazioneParcheggi_Valore">'Riepilogo oneri e costi'!$O$184</definedName>
    <definedName name="ZonaTerritoriale">'Descrizione dell''intervento'!$G$3</definedName>
  </definedNames>
  <calcPr calcId="145621"/>
</workbook>
</file>

<file path=xl/calcChain.xml><?xml version="1.0" encoding="utf-8"?>
<calcChain xmlns="http://schemas.openxmlformats.org/spreadsheetml/2006/main">
  <c r="M173" i="2" l="1"/>
  <c r="E16" i="13" l="1"/>
  <c r="D16" i="13"/>
  <c r="E7" i="13"/>
  <c r="D7" i="13"/>
  <c r="L70" i="2"/>
  <c r="M70" i="2"/>
  <c r="M63" i="2"/>
  <c r="L63" i="2" s="1"/>
  <c r="B1" i="1" l="1"/>
  <c r="R31" i="20" l="1"/>
  <c r="J2" i="19" l="1"/>
  <c r="I2" i="19"/>
  <c r="E56" i="1" l="1"/>
  <c r="G56" i="1" s="1"/>
  <c r="E55" i="1"/>
  <c r="G55" i="1" s="1"/>
  <c r="B56" i="1"/>
  <c r="B55" i="1"/>
  <c r="B72" i="1"/>
  <c r="B71" i="1"/>
  <c r="H132" i="2"/>
  <c r="H128" i="2"/>
  <c r="D132" i="2"/>
  <c r="D128" i="2"/>
  <c r="B132" i="2"/>
  <c r="B128" i="2"/>
  <c r="D56" i="2" l="1"/>
  <c r="D52" i="2"/>
  <c r="B56" i="2"/>
  <c r="B52" i="2"/>
  <c r="B32" i="1"/>
  <c r="B31" i="1"/>
  <c r="AC2" i="22"/>
  <c r="AA2" i="22"/>
  <c r="E68" i="13" l="1"/>
  <c r="E39" i="13"/>
  <c r="E35" i="13"/>
  <c r="D39" i="13" l="1"/>
  <c r="D35" i="13"/>
  <c r="D19" i="13"/>
  <c r="D10" i="13"/>
  <c r="B4" i="2" l="1"/>
  <c r="E20" i="7"/>
  <c r="E27" i="17"/>
  <c r="L34" i="17"/>
  <c r="L35" i="17"/>
  <c r="M166" i="2"/>
  <c r="K46" i="17"/>
  <c r="N46" i="17" s="1"/>
  <c r="K46" i="7"/>
  <c r="N46" i="7" s="1"/>
  <c r="L27" i="20"/>
  <c r="H139" i="26" s="1"/>
  <c r="E27" i="20"/>
  <c r="F27" i="20" s="1"/>
  <c r="F157" i="2" s="1"/>
  <c r="B40" i="1"/>
  <c r="O169" i="26"/>
  <c r="L169" i="26" s="1"/>
  <c r="O168" i="26"/>
  <c r="L168" i="26" s="1"/>
  <c r="L167" i="26"/>
  <c r="L166" i="26"/>
  <c r="L165" i="26"/>
  <c r="L157" i="26"/>
  <c r="L156" i="26"/>
  <c r="L150" i="26"/>
  <c r="L144" i="26"/>
  <c r="M142" i="26"/>
  <c r="M141" i="26"/>
  <c r="M140" i="26"/>
  <c r="M124" i="26"/>
  <c r="M123" i="26"/>
  <c r="L120" i="26"/>
  <c r="L119" i="26"/>
  <c r="L118" i="26"/>
  <c r="H101" i="26"/>
  <c r="D101" i="26"/>
  <c r="B101" i="26"/>
  <c r="H97" i="26"/>
  <c r="D97" i="26"/>
  <c r="B97" i="26"/>
  <c r="H93" i="26"/>
  <c r="D93" i="26"/>
  <c r="B93" i="26"/>
  <c r="H89" i="26"/>
  <c r="D89" i="26"/>
  <c r="B89" i="26"/>
  <c r="H85" i="26"/>
  <c r="D85" i="26"/>
  <c r="B85" i="26"/>
  <c r="H81" i="26"/>
  <c r="D81" i="26"/>
  <c r="B81" i="26"/>
  <c r="H77" i="26"/>
  <c r="D77" i="26"/>
  <c r="B77" i="26"/>
  <c r="H73" i="26"/>
  <c r="D73" i="26"/>
  <c r="B73" i="26"/>
  <c r="H69" i="26"/>
  <c r="D69" i="26"/>
  <c r="B69" i="26"/>
  <c r="H65" i="26"/>
  <c r="D65" i="26"/>
  <c r="B65" i="26"/>
  <c r="H61" i="26"/>
  <c r="D61" i="26"/>
  <c r="B61" i="26"/>
  <c r="D48" i="26"/>
  <c r="B48" i="26"/>
  <c r="D44" i="26"/>
  <c r="B44" i="26"/>
  <c r="D40" i="26"/>
  <c r="B40" i="26"/>
  <c r="D36" i="26"/>
  <c r="D32" i="26"/>
  <c r="B32" i="26"/>
  <c r="D28" i="26"/>
  <c r="B28" i="26"/>
  <c r="D24" i="26"/>
  <c r="B24" i="26"/>
  <c r="D20" i="26"/>
  <c r="B20" i="26"/>
  <c r="D16" i="26"/>
  <c r="B16" i="26"/>
  <c r="D12" i="26"/>
  <c r="B12" i="26"/>
  <c r="D8" i="26"/>
  <c r="B8" i="26"/>
  <c r="D4" i="26"/>
  <c r="B4" i="26"/>
  <c r="B46" i="22"/>
  <c r="B43" i="22"/>
  <c r="B40" i="22"/>
  <c r="B37" i="22"/>
  <c r="B34" i="22"/>
  <c r="B31" i="22"/>
  <c r="B28" i="22"/>
  <c r="B25" i="22"/>
  <c r="B19" i="22"/>
  <c r="B16" i="22"/>
  <c r="B13" i="22"/>
  <c r="B10" i="22"/>
  <c r="B7" i="22"/>
  <c r="B4" i="22"/>
  <c r="D14" i="26" s="1"/>
  <c r="B22" i="22"/>
  <c r="B112" i="2"/>
  <c r="B108" i="2"/>
  <c r="B104" i="2"/>
  <c r="B100" i="2"/>
  <c r="B96" i="2"/>
  <c r="B92" i="2"/>
  <c r="B88" i="2"/>
  <c r="B84" i="2"/>
  <c r="B32" i="2"/>
  <c r="B28" i="2"/>
  <c r="B24" i="2"/>
  <c r="B20" i="2"/>
  <c r="B16" i="2"/>
  <c r="B12" i="2"/>
  <c r="B8" i="2"/>
  <c r="B27" i="1"/>
  <c r="B26" i="1"/>
  <c r="B25" i="1"/>
  <c r="B24" i="1"/>
  <c r="B23" i="1"/>
  <c r="B22" i="1"/>
  <c r="B21" i="1"/>
  <c r="B20" i="1"/>
  <c r="B67" i="1"/>
  <c r="B66" i="1"/>
  <c r="B65" i="1"/>
  <c r="B64" i="1"/>
  <c r="B63" i="1"/>
  <c r="B62" i="1"/>
  <c r="B61" i="1"/>
  <c r="B60" i="1"/>
  <c r="B51" i="1"/>
  <c r="B50" i="1"/>
  <c r="B49" i="1"/>
  <c r="B48" i="1"/>
  <c r="B47" i="1"/>
  <c r="B46" i="1"/>
  <c r="B45" i="1"/>
  <c r="B44" i="1"/>
  <c r="S2" i="22"/>
  <c r="Q2" i="22"/>
  <c r="O2" i="22"/>
  <c r="M2" i="22"/>
  <c r="K2" i="22"/>
  <c r="I2" i="22"/>
  <c r="G2" i="22"/>
  <c r="C2" i="22"/>
  <c r="C23" i="23"/>
  <c r="E67" i="13" s="1"/>
  <c r="F2" i="12"/>
  <c r="G2" i="12"/>
  <c r="U2" i="22"/>
  <c r="W2" i="22"/>
  <c r="Y2" i="22"/>
  <c r="C126" i="22"/>
  <c r="C127" i="22"/>
  <c r="K45" i="17" s="1"/>
  <c r="N45" i="17" s="1"/>
  <c r="C128" i="22"/>
  <c r="C129" i="22"/>
  <c r="C130" i="22"/>
  <c r="K45" i="7" s="1"/>
  <c r="N45" i="7" s="1"/>
  <c r="C131" i="22"/>
  <c r="C132" i="22"/>
  <c r="C133" i="22"/>
  <c r="C134" i="22"/>
  <c r="C135" i="22"/>
  <c r="C140" i="22"/>
  <c r="C141" i="22"/>
  <c r="C142" i="22"/>
  <c r="C143" i="22"/>
  <c r="C144" i="22"/>
  <c r="C145" i="22"/>
  <c r="C146" i="22"/>
  <c r="C147" i="22"/>
  <c r="C148" i="22"/>
  <c r="C149" i="22"/>
  <c r="B4" i="23"/>
  <c r="B5" i="23"/>
  <c r="B6" i="23"/>
  <c r="B7" i="23" s="1"/>
  <c r="D4" i="23"/>
  <c r="D5" i="23"/>
  <c r="D6" i="23"/>
  <c r="D7" i="23"/>
  <c r="B8" i="23"/>
  <c r="D8" i="23"/>
  <c r="B9" i="23"/>
  <c r="D9" i="23"/>
  <c r="B10" i="23"/>
  <c r="D10" i="23"/>
  <c r="B11" i="23"/>
  <c r="D11" i="23"/>
  <c r="B12" i="23"/>
  <c r="D12" i="23"/>
  <c r="B13" i="23"/>
  <c r="D13" i="23"/>
  <c r="B14" i="23"/>
  <c r="D14" i="23"/>
  <c r="B15" i="23"/>
  <c r="D15" i="23"/>
  <c r="B16" i="23"/>
  <c r="D16" i="23"/>
  <c r="B17" i="23"/>
  <c r="D17" i="23"/>
  <c r="B18" i="23"/>
  <c r="D18" i="23"/>
  <c r="B19" i="23"/>
  <c r="D19" i="23"/>
  <c r="B20" i="23"/>
  <c r="D20" i="23"/>
  <c r="B21" i="23"/>
  <c r="D21" i="23"/>
  <c r="B22" i="23"/>
  <c r="D22" i="23"/>
  <c r="H7" i="17"/>
  <c r="J7" i="17"/>
  <c r="H8" i="17"/>
  <c r="J8" i="17"/>
  <c r="H9" i="17"/>
  <c r="J9" i="17"/>
  <c r="H10" i="17"/>
  <c r="J10" i="17"/>
  <c r="E11" i="17"/>
  <c r="H20" i="17"/>
  <c r="E20" i="17"/>
  <c r="F20" i="17"/>
  <c r="F26" i="17"/>
  <c r="F24" i="17"/>
  <c r="F28" i="17"/>
  <c r="I24" i="17"/>
  <c r="I25" i="17"/>
  <c r="I26" i="17"/>
  <c r="I27" i="17"/>
  <c r="I28" i="17"/>
  <c r="I29" i="17"/>
  <c r="K30" i="17"/>
  <c r="E34" i="17"/>
  <c r="E35" i="17"/>
  <c r="F34" i="17"/>
  <c r="F36" i="17"/>
  <c r="N40" i="17"/>
  <c r="H7" i="7"/>
  <c r="J7" i="7"/>
  <c r="H8" i="7"/>
  <c r="J8" i="7"/>
  <c r="H9" i="7"/>
  <c r="J9" i="7"/>
  <c r="H10" i="7"/>
  <c r="J10" i="7"/>
  <c r="E11" i="7"/>
  <c r="H20" i="7"/>
  <c r="E26" i="7"/>
  <c r="E27" i="7"/>
  <c r="L34" i="7"/>
  <c r="L35" i="7"/>
  <c r="F20" i="7"/>
  <c r="F26" i="7"/>
  <c r="F24" i="7"/>
  <c r="I24" i="7"/>
  <c r="K30" i="7"/>
  <c r="I25" i="7"/>
  <c r="I26" i="7"/>
  <c r="I27" i="7"/>
  <c r="I28" i="7"/>
  <c r="I29" i="7"/>
  <c r="E34" i="7"/>
  <c r="E35" i="7"/>
  <c r="F34" i="7"/>
  <c r="F36" i="7"/>
  <c r="N40" i="7"/>
  <c r="F6" i="20"/>
  <c r="F7" i="20" s="1"/>
  <c r="M6" i="20"/>
  <c r="M7" i="20" s="1"/>
  <c r="M17" i="20" s="1"/>
  <c r="E62" i="13" s="1"/>
  <c r="R6" i="20"/>
  <c r="R7" i="20"/>
  <c r="R17" i="20" s="1"/>
  <c r="E63" i="13" s="1"/>
  <c r="G12" i="20"/>
  <c r="F13" i="20"/>
  <c r="F14" i="20" s="1"/>
  <c r="M13" i="20"/>
  <c r="M14" i="20"/>
  <c r="G14" i="20"/>
  <c r="F20" i="20"/>
  <c r="M20" i="20"/>
  <c r="R20" i="20"/>
  <c r="E10" i="19"/>
  <c r="H5" i="19" s="1"/>
  <c r="J5" i="19" s="1"/>
  <c r="E19" i="19"/>
  <c r="F19" i="19"/>
  <c r="I23" i="19"/>
  <c r="I24" i="19"/>
  <c r="I25" i="19"/>
  <c r="I26" i="19"/>
  <c r="I27" i="19"/>
  <c r="I28" i="19"/>
  <c r="N33" i="19"/>
  <c r="B4" i="1"/>
  <c r="B28" i="1"/>
  <c r="B29" i="1"/>
  <c r="B30" i="1"/>
  <c r="G40" i="1"/>
  <c r="E44" i="1"/>
  <c r="G44" i="1" s="1"/>
  <c r="H4" i="26" s="1"/>
  <c r="E45" i="1"/>
  <c r="G45" i="1" s="1"/>
  <c r="H8" i="2" s="1"/>
  <c r="E46" i="1"/>
  <c r="G46" i="1" s="1"/>
  <c r="H12" i="26" s="1"/>
  <c r="E47" i="1"/>
  <c r="G47" i="1" s="1"/>
  <c r="H16" i="26" s="1"/>
  <c r="E48" i="1"/>
  <c r="G48" i="1" s="1"/>
  <c r="H20" i="2" s="1"/>
  <c r="E49" i="1"/>
  <c r="G49" i="1" s="1"/>
  <c r="E50" i="1"/>
  <c r="G50" i="1" s="1"/>
  <c r="H28" i="2" s="1"/>
  <c r="E51" i="1"/>
  <c r="G51" i="1" s="1"/>
  <c r="H32" i="26" s="1"/>
  <c r="B52" i="1"/>
  <c r="E52" i="1"/>
  <c r="G52" i="1" s="1"/>
  <c r="H40" i="26" s="1"/>
  <c r="B53" i="1"/>
  <c r="E53" i="1"/>
  <c r="G53" i="1" s="1"/>
  <c r="H44" i="2" s="1"/>
  <c r="B54" i="1"/>
  <c r="E54" i="1"/>
  <c r="G54" i="1" s="1"/>
  <c r="B68" i="1"/>
  <c r="B69" i="1"/>
  <c r="B70" i="1"/>
  <c r="B77" i="1"/>
  <c r="B83" i="1"/>
  <c r="D4" i="2"/>
  <c r="D8" i="2"/>
  <c r="D12" i="2"/>
  <c r="D16" i="2"/>
  <c r="D20" i="2"/>
  <c r="D24" i="2"/>
  <c r="D28" i="2"/>
  <c r="D32" i="2"/>
  <c r="D36" i="2"/>
  <c r="B40" i="2"/>
  <c r="D40" i="2"/>
  <c r="B44" i="2"/>
  <c r="D44" i="2"/>
  <c r="B48" i="2"/>
  <c r="D48" i="2"/>
  <c r="D84" i="2"/>
  <c r="H84" i="2"/>
  <c r="D88" i="2"/>
  <c r="H88" i="2"/>
  <c r="D92" i="2"/>
  <c r="H92" i="2"/>
  <c r="D96" i="2"/>
  <c r="H96" i="2"/>
  <c r="D100" i="2"/>
  <c r="H100" i="2"/>
  <c r="D104" i="2"/>
  <c r="H104" i="2"/>
  <c r="D108" i="2"/>
  <c r="H108" i="2"/>
  <c r="D112" i="2"/>
  <c r="H112" i="2"/>
  <c r="B116" i="2"/>
  <c r="D116" i="2"/>
  <c r="H116" i="2"/>
  <c r="B120" i="2"/>
  <c r="D120" i="2"/>
  <c r="H120" i="2"/>
  <c r="B124" i="2"/>
  <c r="D124" i="2"/>
  <c r="H124" i="2"/>
  <c r="M66" i="2"/>
  <c r="M73" i="2"/>
  <c r="M158" i="2"/>
  <c r="M159" i="2"/>
  <c r="M160" i="2"/>
  <c r="L180" i="2"/>
  <c r="E47" i="13" s="1"/>
  <c r="L2" i="12" s="1"/>
  <c r="O183" i="2"/>
  <c r="L183" i="2" s="1"/>
  <c r="O184" i="2"/>
  <c r="L184" i="2" s="1"/>
  <c r="E49" i="13" s="1"/>
  <c r="S2" i="12" s="1"/>
  <c r="E10" i="13"/>
  <c r="E19" i="13"/>
  <c r="H2" i="12"/>
  <c r="B47" i="13"/>
  <c r="B50" i="13"/>
  <c r="B51" i="13"/>
  <c r="F25" i="17"/>
  <c r="F28" i="7"/>
  <c r="F25" i="7"/>
  <c r="H9" i="19"/>
  <c r="J9" i="19" s="1"/>
  <c r="E25" i="17"/>
  <c r="E26" i="17"/>
  <c r="D25" i="26"/>
  <c r="H6" i="7"/>
  <c r="J6" i="7"/>
  <c r="H155" i="2"/>
  <c r="I15" i="7"/>
  <c r="K19" i="7"/>
  <c r="I18" i="7"/>
  <c r="I16" i="7"/>
  <c r="I17" i="7"/>
  <c r="K11" i="7"/>
  <c r="K32" i="7"/>
  <c r="L32" i="7"/>
  <c r="M32" i="7"/>
  <c r="N41" i="7" s="1"/>
  <c r="N42" i="7" s="1"/>
  <c r="M166" i="26"/>
  <c r="M181" i="2"/>
  <c r="L181" i="2" s="1"/>
  <c r="J51" i="13"/>
  <c r="M167" i="26"/>
  <c r="M182" i="2"/>
  <c r="E51" i="13" s="1"/>
  <c r="I16" i="17"/>
  <c r="I17" i="17"/>
  <c r="I15" i="17"/>
  <c r="K19" i="17"/>
  <c r="K32" i="17"/>
  <c r="I18" i="17"/>
  <c r="H6" i="17"/>
  <c r="J6" i="17"/>
  <c r="K11" i="17"/>
  <c r="L32" i="17"/>
  <c r="M32" i="17"/>
  <c r="N41" i="17" s="1"/>
  <c r="N42" i="17" s="1"/>
  <c r="F17" i="20" l="1"/>
  <c r="E61" i="13" s="1"/>
  <c r="H8" i="19"/>
  <c r="J8" i="19" s="1"/>
  <c r="K44" i="17"/>
  <c r="K44" i="7"/>
  <c r="N44" i="7" s="1"/>
  <c r="N47" i="7" s="1"/>
  <c r="N52" i="7" s="1"/>
  <c r="D46" i="26"/>
  <c r="D85" i="2"/>
  <c r="F85" i="2" s="1"/>
  <c r="D111" i="2"/>
  <c r="F111" i="2" s="1"/>
  <c r="D5" i="26"/>
  <c r="F5" i="26" s="1"/>
  <c r="H59" i="2"/>
  <c r="D133" i="2"/>
  <c r="F133" i="2" s="1"/>
  <c r="H134" i="2"/>
  <c r="J134" i="2" s="1"/>
  <c r="H129" i="2"/>
  <c r="J129" i="2" s="1"/>
  <c r="D129" i="2"/>
  <c r="F129" i="2" s="1"/>
  <c r="H133" i="2"/>
  <c r="J133" i="2" s="1"/>
  <c r="D135" i="2"/>
  <c r="F135" i="2" s="1"/>
  <c r="D131" i="2"/>
  <c r="F131" i="2" s="1"/>
  <c r="H131" i="2"/>
  <c r="J131" i="2" s="1"/>
  <c r="D134" i="2"/>
  <c r="F134" i="2" s="1"/>
  <c r="D130" i="2"/>
  <c r="F130" i="2" s="1"/>
  <c r="H135" i="2"/>
  <c r="J135" i="2" s="1"/>
  <c r="H130" i="2"/>
  <c r="J130" i="2" s="1"/>
  <c r="H57" i="2"/>
  <c r="D59" i="2"/>
  <c r="F59" i="2" s="1"/>
  <c r="D54" i="2"/>
  <c r="F54" i="2" s="1"/>
  <c r="H55" i="2"/>
  <c r="D58" i="2"/>
  <c r="F58" i="2" s="1"/>
  <c r="H54" i="2"/>
  <c r="D57" i="2"/>
  <c r="F57" i="2" s="1"/>
  <c r="H58" i="2"/>
  <c r="H53" i="2"/>
  <c r="D55" i="2"/>
  <c r="F55" i="2" s="1"/>
  <c r="D53" i="2"/>
  <c r="F53" i="2" s="1"/>
  <c r="H7" i="19"/>
  <c r="J7" i="19" s="1"/>
  <c r="H6" i="19"/>
  <c r="J6" i="19" s="1"/>
  <c r="H48" i="2"/>
  <c r="H56" i="2"/>
  <c r="H52" i="2"/>
  <c r="H14" i="2"/>
  <c r="H31" i="26"/>
  <c r="D102" i="26"/>
  <c r="F102" i="26" s="1"/>
  <c r="H86" i="2"/>
  <c r="J86" i="2" s="1"/>
  <c r="F14" i="26"/>
  <c r="H12" i="2"/>
  <c r="H41" i="2"/>
  <c r="H86" i="26"/>
  <c r="J86" i="26" s="1"/>
  <c r="D22" i="2"/>
  <c r="F22" i="2" s="1"/>
  <c r="D93" i="2"/>
  <c r="F93" i="2" s="1"/>
  <c r="D101" i="2"/>
  <c r="F101" i="2" s="1"/>
  <c r="D68" i="26"/>
  <c r="F68" i="26" s="1"/>
  <c r="H43" i="26"/>
  <c r="J43" i="26" s="1"/>
  <c r="H47" i="2"/>
  <c r="J47" i="2" s="1"/>
  <c r="H10" i="2"/>
  <c r="J10" i="2" s="1"/>
  <c r="D51" i="2"/>
  <c r="F51" i="2" s="1"/>
  <c r="H87" i="26"/>
  <c r="J87" i="26" s="1"/>
  <c r="H50" i="2"/>
  <c r="H94" i="26"/>
  <c r="J94" i="26" s="1"/>
  <c r="H96" i="26"/>
  <c r="J96" i="26" s="1"/>
  <c r="H126" i="2"/>
  <c r="J126" i="2" s="1"/>
  <c r="H33" i="2"/>
  <c r="D9" i="2"/>
  <c r="F9" i="2" s="1"/>
  <c r="H99" i="2"/>
  <c r="J99" i="2" s="1"/>
  <c r="H13" i="26"/>
  <c r="J13" i="26" s="1"/>
  <c r="H97" i="2"/>
  <c r="J97" i="2" s="1"/>
  <c r="H63" i="26"/>
  <c r="J63" i="26" s="1"/>
  <c r="H76" i="26"/>
  <c r="J76" i="26" s="1"/>
  <c r="H31" i="2"/>
  <c r="J31" i="2" s="1"/>
  <c r="H83" i="26"/>
  <c r="J83" i="26" s="1"/>
  <c r="H33" i="26"/>
  <c r="J33" i="26" s="1"/>
  <c r="H35" i="2"/>
  <c r="F25" i="26"/>
  <c r="N44" i="17"/>
  <c r="N47" i="17" s="1"/>
  <c r="N52" i="17" s="1"/>
  <c r="L171" i="2" s="1"/>
  <c r="H46" i="26"/>
  <c r="D98" i="26"/>
  <c r="F98" i="26" s="1"/>
  <c r="D88" i="26"/>
  <c r="F88" i="26" s="1"/>
  <c r="D106" i="2"/>
  <c r="F106" i="2" s="1"/>
  <c r="H71" i="26"/>
  <c r="J71" i="26" s="1"/>
  <c r="D11" i="26"/>
  <c r="F11" i="26" s="1"/>
  <c r="H111" i="2"/>
  <c r="J111" i="2" s="1"/>
  <c r="H68" i="26"/>
  <c r="J68" i="26" s="1"/>
  <c r="H90" i="2"/>
  <c r="J90" i="2" s="1"/>
  <c r="D50" i="2"/>
  <c r="F50" i="2" s="1"/>
  <c r="H115" i="2"/>
  <c r="J115" i="2" s="1"/>
  <c r="D117" i="2"/>
  <c r="F117" i="2" s="1"/>
  <c r="D29" i="2"/>
  <c r="F29" i="2" s="1"/>
  <c r="H15" i="26"/>
  <c r="J15" i="26" s="1"/>
  <c r="H14" i="26"/>
  <c r="J14" i="26" s="1"/>
  <c r="D83" i="26"/>
  <c r="F83" i="26" s="1"/>
  <c r="H15" i="2"/>
  <c r="D42" i="26"/>
  <c r="F42" i="26" s="1"/>
  <c r="H99" i="26"/>
  <c r="J99" i="26" s="1"/>
  <c r="D74" i="26"/>
  <c r="F74" i="26" s="1"/>
  <c r="H79" i="26"/>
  <c r="J79" i="26" s="1"/>
  <c r="D86" i="26"/>
  <c r="F86" i="26" s="1"/>
  <c r="H100" i="26"/>
  <c r="J100" i="26" s="1"/>
  <c r="D94" i="26"/>
  <c r="F94" i="26" s="1"/>
  <c r="H16" i="2"/>
  <c r="H5" i="26"/>
  <c r="J5" i="26" s="1"/>
  <c r="D62" i="26"/>
  <c r="F62" i="26" s="1"/>
  <c r="D45" i="2"/>
  <c r="F45" i="2" s="1"/>
  <c r="D98" i="2"/>
  <c r="F98" i="2" s="1"/>
  <c r="H30" i="2"/>
  <c r="J30" i="2" s="1"/>
  <c r="H22" i="26"/>
  <c r="D95" i="2"/>
  <c r="F95" i="2" s="1"/>
  <c r="D90" i="26"/>
  <c r="F90" i="26" s="1"/>
  <c r="D23" i="2"/>
  <c r="F23" i="2" s="1"/>
  <c r="H7" i="2"/>
  <c r="H20" i="26"/>
  <c r="H94" i="2"/>
  <c r="J94" i="2" s="1"/>
  <c r="H5" i="2"/>
  <c r="D27" i="26"/>
  <c r="F27" i="26" s="1"/>
  <c r="D19" i="26"/>
  <c r="F19" i="26" s="1"/>
  <c r="D103" i="2"/>
  <c r="F103" i="2" s="1"/>
  <c r="H90" i="26"/>
  <c r="J90" i="26" s="1"/>
  <c r="D78" i="26"/>
  <c r="F78" i="26" s="1"/>
  <c r="D99" i="2"/>
  <c r="F99" i="2" s="1"/>
  <c r="H18" i="26"/>
  <c r="J18" i="26" s="1"/>
  <c r="D7" i="26"/>
  <c r="F7" i="26" s="1"/>
  <c r="H118" i="2"/>
  <c r="J118" i="2" s="1"/>
  <c r="H127" i="2"/>
  <c r="J127" i="2" s="1"/>
  <c r="D37" i="2"/>
  <c r="F37" i="2" s="1"/>
  <c r="L37" i="2" s="1"/>
  <c r="D64" i="26"/>
  <c r="F64" i="26" s="1"/>
  <c r="H95" i="2"/>
  <c r="J95" i="2" s="1"/>
  <c r="D42" i="2"/>
  <c r="F42" i="2" s="1"/>
  <c r="H23" i="2"/>
  <c r="J23" i="2" s="1"/>
  <c r="H40" i="2"/>
  <c r="H42" i="26"/>
  <c r="J42" i="26" s="1"/>
  <c r="D126" i="2"/>
  <c r="F126" i="2" s="1"/>
  <c r="D38" i="26"/>
  <c r="F38" i="26" s="1"/>
  <c r="L38" i="26" s="1"/>
  <c r="M119" i="26" s="1"/>
  <c r="D80" i="26"/>
  <c r="F80" i="26" s="1"/>
  <c r="D87" i="26"/>
  <c r="F87" i="26" s="1"/>
  <c r="D95" i="26"/>
  <c r="F95" i="26" s="1"/>
  <c r="H35" i="26"/>
  <c r="J35" i="26" s="1"/>
  <c r="D118" i="2"/>
  <c r="F118" i="2" s="1"/>
  <c r="H103" i="26"/>
  <c r="J103" i="26" s="1"/>
  <c r="D94" i="2"/>
  <c r="F94" i="2" s="1"/>
  <c r="H66" i="26"/>
  <c r="J66" i="26" s="1"/>
  <c r="H42" i="2"/>
  <c r="H138" i="26"/>
  <c r="D26" i="26"/>
  <c r="F26" i="26" s="1"/>
  <c r="D114" i="2"/>
  <c r="F114" i="2" s="1"/>
  <c r="H49" i="2"/>
  <c r="D66" i="26"/>
  <c r="F66" i="26" s="1"/>
  <c r="H157" i="2"/>
  <c r="H19" i="26"/>
  <c r="J19" i="26" s="1"/>
  <c r="D87" i="2"/>
  <c r="F87" i="2" s="1"/>
  <c r="D38" i="2"/>
  <c r="F38" i="2" s="1"/>
  <c r="L38" i="2" s="1"/>
  <c r="H106" i="2"/>
  <c r="J106" i="2" s="1"/>
  <c r="H50" i="26"/>
  <c r="H122" i="2"/>
  <c r="J122" i="2" s="1"/>
  <c r="D96" i="26"/>
  <c r="F96" i="26" s="1"/>
  <c r="D30" i="2"/>
  <c r="F30" i="2" s="1"/>
  <c r="H51" i="2"/>
  <c r="H98" i="2"/>
  <c r="J98" i="2" s="1"/>
  <c r="H72" i="26"/>
  <c r="J72" i="26" s="1"/>
  <c r="H47" i="26"/>
  <c r="D113" i="2"/>
  <c r="F113" i="2" s="1"/>
  <c r="D82" i="26"/>
  <c r="F82" i="26" s="1"/>
  <c r="H26" i="26"/>
  <c r="H91" i="26"/>
  <c r="J91" i="26" s="1"/>
  <c r="H26" i="2"/>
  <c r="H89" i="2"/>
  <c r="J89" i="2" s="1"/>
  <c r="D45" i="26"/>
  <c r="F45" i="26" s="1"/>
  <c r="H45" i="26"/>
  <c r="D14" i="2"/>
  <c r="F14" i="2" s="1"/>
  <c r="H123" i="2"/>
  <c r="J123" i="2" s="1"/>
  <c r="D22" i="26"/>
  <c r="F22" i="26" s="1"/>
  <c r="D49" i="2"/>
  <c r="F49" i="2" s="1"/>
  <c r="D43" i="26"/>
  <c r="F43" i="26" s="1"/>
  <c r="H93" i="2"/>
  <c r="J93" i="2" s="1"/>
  <c r="D21" i="26"/>
  <c r="F21" i="26" s="1"/>
  <c r="H95" i="26"/>
  <c r="J95" i="26" s="1"/>
  <c r="D46" i="2"/>
  <c r="F46" i="2" s="1"/>
  <c r="H9" i="26"/>
  <c r="D138" i="26"/>
  <c r="D103" i="26"/>
  <c r="F103" i="26" s="1"/>
  <c r="H29" i="26"/>
  <c r="H34" i="26"/>
  <c r="J34" i="26" s="1"/>
  <c r="D157" i="2"/>
  <c r="F139" i="26"/>
  <c r="H8" i="26"/>
  <c r="M27" i="20"/>
  <c r="J157" i="2" s="1"/>
  <c r="D139" i="26"/>
  <c r="F46" i="26"/>
  <c r="H28" i="26"/>
  <c r="H48" i="26"/>
  <c r="H32" i="2"/>
  <c r="H103" i="2"/>
  <c r="J103" i="2" s="1"/>
  <c r="D75" i="26"/>
  <c r="F75" i="26" s="1"/>
  <c r="D6" i="26"/>
  <c r="F6" i="26" s="1"/>
  <c r="H51" i="26"/>
  <c r="D125" i="2"/>
  <c r="F125" i="2" s="1"/>
  <c r="D109" i="2"/>
  <c r="F109" i="2" s="1"/>
  <c r="D41" i="2"/>
  <c r="F41" i="2" s="1"/>
  <c r="D97" i="2"/>
  <c r="F97" i="2" s="1"/>
  <c r="D17" i="26"/>
  <c r="F17" i="26" s="1"/>
  <c r="D23" i="26"/>
  <c r="F23" i="26" s="1"/>
  <c r="H88" i="26"/>
  <c r="J88" i="26" s="1"/>
  <c r="H7" i="26"/>
  <c r="J7" i="26" s="1"/>
  <c r="D91" i="26"/>
  <c r="F91" i="26" s="1"/>
  <c r="D49" i="26"/>
  <c r="F49" i="26" s="1"/>
  <c r="D92" i="26"/>
  <c r="F92" i="26" s="1"/>
  <c r="H98" i="26"/>
  <c r="J98" i="26" s="1"/>
  <c r="H17" i="2"/>
  <c r="D71" i="26"/>
  <c r="F71" i="26" s="1"/>
  <c r="D91" i="2"/>
  <c r="F91" i="2" s="1"/>
  <c r="H10" i="26"/>
  <c r="H87" i="2"/>
  <c r="J87" i="2" s="1"/>
  <c r="H107" i="2"/>
  <c r="J107" i="2" s="1"/>
  <c r="H78" i="26"/>
  <c r="J78" i="26" s="1"/>
  <c r="H82" i="26"/>
  <c r="J82" i="26" s="1"/>
  <c r="H9" i="2"/>
  <c r="J9" i="2" s="1"/>
  <c r="D105" i="2"/>
  <c r="F105" i="2" s="1"/>
  <c r="D15" i="2"/>
  <c r="F15" i="2" s="1"/>
  <c r="H34" i="2"/>
  <c r="H21" i="2"/>
  <c r="J21" i="2" s="1"/>
  <c r="D15" i="26"/>
  <c r="F15" i="26" s="1"/>
  <c r="H110" i="2"/>
  <c r="J110" i="2" s="1"/>
  <c r="H6" i="2"/>
  <c r="D19" i="2"/>
  <c r="F19" i="2" s="1"/>
  <c r="H18" i="2"/>
  <c r="D110" i="2"/>
  <c r="F110" i="2" s="1"/>
  <c r="D50" i="26"/>
  <c r="F50" i="26" s="1"/>
  <c r="H91" i="2"/>
  <c r="J91" i="2" s="1"/>
  <c r="H104" i="26"/>
  <c r="J104" i="26" s="1"/>
  <c r="H46" i="2"/>
  <c r="J46" i="2" s="1"/>
  <c r="D33" i="26"/>
  <c r="F33" i="26" s="1"/>
  <c r="D31" i="26"/>
  <c r="F31" i="26" s="1"/>
  <c r="H43" i="2"/>
  <c r="D10" i="2"/>
  <c r="F10" i="2" s="1"/>
  <c r="D25" i="2"/>
  <c r="F25" i="2" s="1"/>
  <c r="H29" i="2"/>
  <c r="J29" i="2" s="1"/>
  <c r="D47" i="26"/>
  <c r="F47" i="26" s="1"/>
  <c r="D31" i="2"/>
  <c r="F31" i="2" s="1"/>
  <c r="D26" i="2"/>
  <c r="F26" i="2" s="1"/>
  <c r="D121" i="2"/>
  <c r="F121" i="2" s="1"/>
  <c r="D86" i="2"/>
  <c r="F86" i="2" s="1"/>
  <c r="D100" i="26"/>
  <c r="F100" i="26" s="1"/>
  <c r="H114" i="2"/>
  <c r="J114" i="2" s="1"/>
  <c r="D39" i="2"/>
  <c r="F39" i="2" s="1"/>
  <c r="L39" i="2" s="1"/>
  <c r="D76" i="26"/>
  <c r="F76" i="26" s="1"/>
  <c r="D37" i="26"/>
  <c r="F37" i="26" s="1"/>
  <c r="L37" i="26" s="1"/>
  <c r="M118" i="26" s="1"/>
  <c r="D27" i="2"/>
  <c r="F27" i="2" s="1"/>
  <c r="H49" i="26"/>
  <c r="D84" i="26"/>
  <c r="F84" i="26" s="1"/>
  <c r="D18" i="2"/>
  <c r="F18" i="2" s="1"/>
  <c r="D33" i="2"/>
  <c r="F33" i="2" s="1"/>
  <c r="H113" i="2"/>
  <c r="J113" i="2" s="1"/>
  <c r="H121" i="2"/>
  <c r="J121" i="2" s="1"/>
  <c r="H92" i="26"/>
  <c r="J92" i="26" s="1"/>
  <c r="D122" i="2"/>
  <c r="F122" i="2" s="1"/>
  <c r="H105" i="2"/>
  <c r="J105" i="2" s="1"/>
  <c r="H22" i="2"/>
  <c r="J22" i="2" s="1"/>
  <c r="H30" i="26"/>
  <c r="D13" i="26"/>
  <c r="F13" i="26" s="1"/>
  <c r="H25" i="2"/>
  <c r="D35" i="26"/>
  <c r="F35" i="26" s="1"/>
  <c r="H109" i="2"/>
  <c r="J109" i="2" s="1"/>
  <c r="D89" i="2"/>
  <c r="F89" i="2" s="1"/>
  <c r="H11" i="26"/>
  <c r="H80" i="26"/>
  <c r="J80" i="26" s="1"/>
  <c r="D17" i="2"/>
  <c r="F17" i="2" s="1"/>
  <c r="D11" i="2"/>
  <c r="F11" i="2" s="1"/>
  <c r="H85" i="2"/>
  <c r="J85" i="2" s="1"/>
  <c r="D21" i="2"/>
  <c r="F21" i="2" s="1"/>
  <c r="H117" i="2"/>
  <c r="J117" i="2" s="1"/>
  <c r="H102" i="2"/>
  <c r="J102" i="2" s="1"/>
  <c r="D107" i="2"/>
  <c r="F107" i="2" s="1"/>
  <c r="D115" i="2"/>
  <c r="F115" i="2" s="1"/>
  <c r="H41" i="26"/>
  <c r="J41" i="26" s="1"/>
  <c r="D99" i="26"/>
  <c r="F99" i="26" s="1"/>
  <c r="D35" i="2"/>
  <c r="F35" i="2" s="1"/>
  <c r="H84" i="26"/>
  <c r="J84" i="26" s="1"/>
  <c r="D63" i="26"/>
  <c r="F63" i="26" s="1"/>
  <c r="D102" i="2"/>
  <c r="F102" i="2" s="1"/>
  <c r="H74" i="26"/>
  <c r="J74" i="26" s="1"/>
  <c r="H101" i="2"/>
  <c r="J101" i="2" s="1"/>
  <c r="H6" i="26"/>
  <c r="J6" i="26" s="1"/>
  <c r="D119" i="2"/>
  <c r="F119" i="2" s="1"/>
  <c r="H11" i="2"/>
  <c r="J11" i="2" s="1"/>
  <c r="D123" i="2"/>
  <c r="F123" i="2" s="1"/>
  <c r="H27" i="26"/>
  <c r="H45" i="2"/>
  <c r="J45" i="2" s="1"/>
  <c r="D34" i="2"/>
  <c r="F34" i="2" s="1"/>
  <c r="H70" i="26"/>
  <c r="J70" i="26" s="1"/>
  <c r="D51" i="26"/>
  <c r="F51" i="26" s="1"/>
  <c r="D41" i="26"/>
  <c r="F41" i="26" s="1"/>
  <c r="D79" i="26"/>
  <c r="F79" i="26" s="1"/>
  <c r="D127" i="2"/>
  <c r="F127" i="2" s="1"/>
  <c r="H19" i="2"/>
  <c r="H64" i="26"/>
  <c r="J64" i="26" s="1"/>
  <c r="D67" i="26"/>
  <c r="F67" i="26" s="1"/>
  <c r="D90" i="2"/>
  <c r="F90" i="2" s="1"/>
  <c r="H17" i="26"/>
  <c r="J17" i="26" s="1"/>
  <c r="H21" i="26"/>
  <c r="D47" i="2"/>
  <c r="F47" i="2" s="1"/>
  <c r="D43" i="2"/>
  <c r="F43" i="2" s="1"/>
  <c r="D70" i="26"/>
  <c r="F70" i="26" s="1"/>
  <c r="D18" i="26"/>
  <c r="F18" i="26" s="1"/>
  <c r="H67" i="26"/>
  <c r="J67" i="26" s="1"/>
  <c r="D13" i="2"/>
  <c r="F13" i="2" s="1"/>
  <c r="H13" i="2"/>
  <c r="H75" i="26"/>
  <c r="J75" i="26" s="1"/>
  <c r="D9" i="26"/>
  <c r="F9" i="26" s="1"/>
  <c r="H62" i="26"/>
  <c r="J62" i="26" s="1"/>
  <c r="D5" i="2"/>
  <c r="F5" i="2" s="1"/>
  <c r="H125" i="2"/>
  <c r="J125" i="2" s="1"/>
  <c r="D30" i="26"/>
  <c r="F30" i="26" s="1"/>
  <c r="H102" i="26"/>
  <c r="J102" i="26" s="1"/>
  <c r="D104" i="26"/>
  <c r="F104" i="26" s="1"/>
  <c r="D10" i="26"/>
  <c r="F10" i="26" s="1"/>
  <c r="D6" i="2"/>
  <c r="F6" i="2" s="1"/>
  <c r="H23" i="26"/>
  <c r="D7" i="2"/>
  <c r="F7" i="2" s="1"/>
  <c r="H25" i="26"/>
  <c r="D39" i="26"/>
  <c r="F39" i="26" s="1"/>
  <c r="L39" i="26" s="1"/>
  <c r="D29" i="26"/>
  <c r="F29" i="26" s="1"/>
  <c r="H119" i="2"/>
  <c r="J119" i="2" s="1"/>
  <c r="H27" i="2"/>
  <c r="D34" i="26"/>
  <c r="F34" i="26" s="1"/>
  <c r="D72" i="26"/>
  <c r="F72" i="26" s="1"/>
  <c r="H24" i="2"/>
  <c r="H24" i="26"/>
  <c r="H44" i="26"/>
  <c r="H4" i="2"/>
  <c r="E48" i="13"/>
  <c r="T2" i="12" s="1"/>
  <c r="L185" i="2"/>
  <c r="E53" i="13" s="1"/>
  <c r="D23" i="23"/>
  <c r="E69" i="13" s="1"/>
  <c r="H19" i="19"/>
  <c r="I16" i="19" s="1"/>
  <c r="K29" i="19"/>
  <c r="L182" i="2"/>
  <c r="L170" i="26"/>
  <c r="E50" i="13"/>
  <c r="P2" i="12" s="1"/>
  <c r="K10" i="19" l="1"/>
  <c r="L173" i="2"/>
  <c r="M172" i="2"/>
  <c r="J51" i="2"/>
  <c r="L51" i="2" s="1"/>
  <c r="L23" i="2"/>
  <c r="J49" i="2"/>
  <c r="L49" i="2" s="1"/>
  <c r="J50" i="2"/>
  <c r="L50" i="2" s="1"/>
  <c r="I17" i="19"/>
  <c r="J138" i="2"/>
  <c r="F137" i="2"/>
  <c r="J13" i="2"/>
  <c r="L13" i="2" s="1"/>
  <c r="J41" i="2"/>
  <c r="L41" i="2" s="1"/>
  <c r="F138" i="2"/>
  <c r="F139" i="2"/>
  <c r="J137" i="2"/>
  <c r="J139" i="2"/>
  <c r="J31" i="26"/>
  <c r="L31" i="26" s="1"/>
  <c r="L5" i="26"/>
  <c r="J54" i="2"/>
  <c r="L54" i="2" s="1"/>
  <c r="J53" i="2"/>
  <c r="L53" i="2" s="1"/>
  <c r="J55" i="2"/>
  <c r="L55" i="2" s="1"/>
  <c r="J57" i="2"/>
  <c r="L57" i="2" s="1"/>
  <c r="J58" i="2"/>
  <c r="L58" i="2" s="1"/>
  <c r="J59" i="2"/>
  <c r="L59" i="2" s="1"/>
  <c r="E6" i="13"/>
  <c r="C2" i="12" s="1"/>
  <c r="L14" i="26"/>
  <c r="J14" i="2"/>
  <c r="L14" i="2" s="1"/>
  <c r="J5" i="2"/>
  <c r="L5" i="2" s="1"/>
  <c r="J15" i="2"/>
  <c r="L15" i="2" s="1"/>
  <c r="L7" i="26"/>
  <c r="J35" i="2"/>
  <c r="L35" i="2" s="1"/>
  <c r="L43" i="26"/>
  <c r="L13" i="26"/>
  <c r="L22" i="2"/>
  <c r="L42" i="26"/>
  <c r="J29" i="26"/>
  <c r="L29" i="26" s="1"/>
  <c r="L47" i="2"/>
  <c r="J50" i="26"/>
  <c r="L50" i="26" s="1"/>
  <c r="J46" i="26"/>
  <c r="L46" i="26" s="1"/>
  <c r="J23" i="26"/>
  <c r="L23" i="26" s="1"/>
  <c r="L35" i="26"/>
  <c r="J49" i="26"/>
  <c r="L49" i="26" s="1"/>
  <c r="J26" i="26"/>
  <c r="L26" i="26" s="1"/>
  <c r="J21" i="26"/>
  <c r="L21" i="26" s="1"/>
  <c r="L34" i="26"/>
  <c r="J42" i="2"/>
  <c r="L42" i="2" s="1"/>
  <c r="J22" i="26"/>
  <c r="L22" i="26" s="1"/>
  <c r="L19" i="26"/>
  <c r="L17" i="26"/>
  <c r="L10" i="2"/>
  <c r="L30" i="2"/>
  <c r="J139" i="26"/>
  <c r="L139" i="26" s="1"/>
  <c r="L45" i="2"/>
  <c r="L33" i="26"/>
  <c r="J9" i="26"/>
  <c r="L9" i="26" s="1"/>
  <c r="J47" i="26"/>
  <c r="L47" i="26" s="1"/>
  <c r="J107" i="26"/>
  <c r="J43" i="2"/>
  <c r="L43" i="2" s="1"/>
  <c r="J18" i="2"/>
  <c r="L18" i="2" s="1"/>
  <c r="L15" i="26"/>
  <c r="J11" i="26"/>
  <c r="L11" i="26" s="1"/>
  <c r="J17" i="2"/>
  <c r="L17" i="2" s="1"/>
  <c r="J19" i="2"/>
  <c r="L19" i="2" s="1"/>
  <c r="F108" i="26"/>
  <c r="J30" i="26"/>
  <c r="L30" i="26" s="1"/>
  <c r="L31" i="2"/>
  <c r="L6" i="26"/>
  <c r="L9" i="2"/>
  <c r="L149" i="26"/>
  <c r="F109" i="26"/>
  <c r="J26" i="2"/>
  <c r="L26" i="2" s="1"/>
  <c r="J51" i="26"/>
  <c r="L51" i="26" s="1"/>
  <c r="L46" i="2"/>
  <c r="F107" i="26"/>
  <c r="E38" i="13"/>
  <c r="L170" i="2"/>
  <c r="L148" i="26"/>
  <c r="L151" i="26"/>
  <c r="J33" i="2"/>
  <c r="L33" i="2" s="1"/>
  <c r="J45" i="26"/>
  <c r="L45" i="26" s="1"/>
  <c r="J27" i="2"/>
  <c r="L27" i="2" s="1"/>
  <c r="J25" i="26"/>
  <c r="L25" i="26" s="1"/>
  <c r="L18" i="26"/>
  <c r="J109" i="26"/>
  <c r="L41" i="26"/>
  <c r="L11" i="2"/>
  <c r="J34" i="2"/>
  <c r="L34" i="2" s="1"/>
  <c r="J10" i="26"/>
  <c r="L10" i="26" s="1"/>
  <c r="L21" i="2"/>
  <c r="J108" i="26"/>
  <c r="J25" i="2"/>
  <c r="L25" i="2" s="1"/>
  <c r="L29" i="2"/>
  <c r="J6" i="2"/>
  <c r="L6" i="2" s="1"/>
  <c r="J7" i="2"/>
  <c r="L7" i="2" s="1"/>
  <c r="J27" i="26"/>
  <c r="L27" i="26" s="1"/>
  <c r="E15" i="13"/>
  <c r="D2" i="12" s="1"/>
  <c r="I15" i="19"/>
  <c r="I14" i="19"/>
  <c r="L143" i="2" l="1"/>
  <c r="L146" i="2"/>
  <c r="E23" i="13" s="1"/>
  <c r="L62" i="2"/>
  <c r="E4" i="13" s="1"/>
  <c r="L175" i="2"/>
  <c r="E40" i="13" s="1"/>
  <c r="K18" i="19"/>
  <c r="K31" i="19" s="1"/>
  <c r="L69" i="2"/>
  <c r="E13" i="13" s="1"/>
  <c r="M76" i="2"/>
  <c r="L141" i="2"/>
  <c r="L113" i="26"/>
  <c r="L111" i="26"/>
  <c r="L54" i="26"/>
  <c r="M122" i="26" s="1"/>
  <c r="L53" i="26"/>
  <c r="M121" i="26" s="1"/>
  <c r="L112" i="26"/>
  <c r="L142" i="2"/>
  <c r="L55" i="26"/>
  <c r="N2" i="12"/>
  <c r="M2" i="12"/>
  <c r="N31" i="19"/>
  <c r="L26" i="20"/>
  <c r="E26" i="20"/>
  <c r="E25" i="20"/>
  <c r="L25" i="20"/>
  <c r="Q25" i="20"/>
  <c r="Q26" i="20"/>
  <c r="H156" i="2" l="1"/>
  <c r="D156" i="2"/>
  <c r="D162" i="2"/>
  <c r="D155" i="2"/>
  <c r="R26" i="20"/>
  <c r="F162" i="2" s="1"/>
  <c r="L145" i="2"/>
  <c r="M65" i="2"/>
  <c r="L65" i="2" s="1"/>
  <c r="M71" i="2"/>
  <c r="E17" i="13" s="1"/>
  <c r="D17" i="13" s="1"/>
  <c r="M72" i="2"/>
  <c r="M64" i="2"/>
  <c r="E8" i="13" s="1"/>
  <c r="D8" i="13" s="1"/>
  <c r="E22" i="13"/>
  <c r="M77" i="2"/>
  <c r="E24" i="13" s="1"/>
  <c r="D24" i="13" s="1"/>
  <c r="E58" i="13"/>
  <c r="D143" i="26"/>
  <c r="D137" i="26"/>
  <c r="H137" i="26"/>
  <c r="M26" i="20"/>
  <c r="J138" i="26" s="1"/>
  <c r="F26" i="20"/>
  <c r="L129" i="26"/>
  <c r="L127" i="26"/>
  <c r="L128" i="26"/>
  <c r="L115" i="26"/>
  <c r="L57" i="26"/>
  <c r="H154" i="2"/>
  <c r="D161" i="2"/>
  <c r="E60" i="13"/>
  <c r="N34" i="19"/>
  <c r="J156" i="2" s="1"/>
  <c r="L31" i="19"/>
  <c r="J154" i="2" l="1"/>
  <c r="F154" i="2"/>
  <c r="F156" i="2"/>
  <c r="F138" i="26"/>
  <c r="F155" i="2"/>
  <c r="E25" i="13"/>
  <c r="K2" i="12" s="1"/>
  <c r="E14" i="13"/>
  <c r="E20" i="13" s="1"/>
  <c r="B2" i="12" s="1"/>
  <c r="E5" i="13"/>
  <c r="E11" i="13" s="1"/>
  <c r="E59" i="13"/>
  <c r="E9" i="13"/>
  <c r="D9" i="13" s="1"/>
  <c r="L74" i="2"/>
  <c r="M120" i="26"/>
  <c r="L125" i="26" s="1"/>
  <c r="L130" i="26" s="1"/>
  <c r="L72" i="2"/>
  <c r="E18" i="13"/>
  <c r="D18" i="13" s="1"/>
  <c r="L78" i="2"/>
  <c r="L67" i="2"/>
  <c r="D154" i="2"/>
  <c r="J155" i="2"/>
  <c r="M21" i="20"/>
  <c r="M22" i="20" s="1"/>
  <c r="M25" i="20" s="1"/>
  <c r="F21" i="20"/>
  <c r="F22" i="20" s="1"/>
  <c r="F25" i="20" s="1"/>
  <c r="R21" i="20"/>
  <c r="R22" i="20" s="1"/>
  <c r="L156" i="2" l="1"/>
  <c r="L131" i="26"/>
  <c r="L80" i="2"/>
  <c r="L148" i="2" s="1"/>
  <c r="E27" i="13"/>
  <c r="A2" i="12"/>
  <c r="E2" i="12"/>
  <c r="R25" i="20"/>
  <c r="F161" i="2" s="1"/>
  <c r="L161" i="2" s="1"/>
  <c r="M28" i="20"/>
  <c r="M34" i="20" s="1"/>
  <c r="J137" i="26"/>
  <c r="F137" i="26"/>
  <c r="F28" i="20"/>
  <c r="F34" i="20" s="1"/>
  <c r="L154" i="2" l="1"/>
  <c r="L137" i="26"/>
  <c r="R28" i="20"/>
  <c r="M163" i="2" s="1"/>
  <c r="L163" i="2" s="1"/>
  <c r="D32" i="13" s="1"/>
  <c r="E30" i="13" l="1"/>
  <c r="R34" i="20"/>
  <c r="F36" i="20" s="1"/>
  <c r="E31" i="13"/>
  <c r="I2" i="12" s="1"/>
  <c r="M156" i="26"/>
  <c r="F143" i="26"/>
  <c r="L143" i="26" s="1"/>
  <c r="L145" i="26" s="1"/>
  <c r="L153" i="26" s="1"/>
  <c r="M157" i="26" l="1"/>
  <c r="M165" i="2"/>
  <c r="M158" i="26"/>
  <c r="M164" i="2"/>
  <c r="E33" i="13" s="1"/>
  <c r="E32" i="13"/>
  <c r="M159" i="26" l="1"/>
  <c r="L165" i="2"/>
  <c r="E34" i="13"/>
  <c r="D34" i="13" s="1"/>
  <c r="D33" i="13"/>
  <c r="L167" i="2"/>
  <c r="L177" i="2" s="1"/>
  <c r="L187" i="2" s="1"/>
  <c r="E55" i="13" s="1"/>
  <c r="R2" i="12" s="1"/>
  <c r="L161" i="26"/>
  <c r="L172" i="26" s="1"/>
  <c r="O2" i="12"/>
  <c r="E36" i="13" l="1"/>
  <c r="E42" i="13"/>
  <c r="E44" i="13" s="1"/>
  <c r="Q2" i="12" s="1"/>
  <c r="J2" i="12" l="1"/>
</calcChain>
</file>

<file path=xl/comments1.xml><?xml version="1.0" encoding="utf-8"?>
<comments xmlns="http://schemas.openxmlformats.org/spreadsheetml/2006/main">
  <authors>
    <author>Giovanni Sacco</author>
    <author>Manuel Maffeis</author>
  </authors>
  <commentList>
    <comment ref="C154" authorId="0">
      <text>
        <r>
          <rPr>
            <sz val="9"/>
            <color indexed="81"/>
            <rFont val="Tahoma"/>
            <family val="2"/>
          </rPr>
          <t>Corrisponde a: Superficie complessiva x (Costo base di costruzione + maggiorazione)</t>
        </r>
      </text>
    </comment>
    <comment ref="D154" authorId="1">
      <text>
        <r>
          <rPr>
            <sz val="9"/>
            <color indexed="81"/>
            <rFont val="Tahoma"/>
            <family val="2"/>
          </rPr>
          <t>Aliquota in riferimento alla classe dell'edificio</t>
        </r>
      </text>
    </comment>
    <comment ref="G154" authorId="0">
      <text>
        <r>
          <rPr>
            <sz val="9"/>
            <color indexed="81"/>
            <rFont val="Tahoma"/>
            <family val="2"/>
          </rPr>
          <t>Corrisponde a: Superficie complessiva x (Costo base di costruzione + maggiorazione)</t>
        </r>
      </text>
    </comment>
    <comment ref="H154" authorId="1">
      <text>
        <r>
          <rPr>
            <sz val="9"/>
            <color indexed="81"/>
            <rFont val="Tahoma"/>
            <family val="2"/>
          </rPr>
          <t>Aliquota in riferimento alla classe dell'edificio</t>
        </r>
      </text>
    </comment>
    <comment ref="F155" authorId="0">
      <text>
        <r>
          <rPr>
            <sz val="9"/>
            <color indexed="81"/>
            <rFont val="Tahoma"/>
            <family val="2"/>
          </rPr>
          <t xml:space="preserve">Considera il computo metrico definito nel foglio "Costo Costruzione" </t>
        </r>
      </text>
    </comment>
    <comment ref="J155" authorId="0">
      <text>
        <r>
          <rPr>
            <sz val="9"/>
            <color indexed="81"/>
            <rFont val="Tahoma"/>
            <family val="2"/>
          </rPr>
          <t xml:space="preserve">Considera il computo metrico definito nel foglio "Costo Costruzione" </t>
        </r>
      </text>
    </comment>
    <comment ref="C156" authorId="0">
      <text>
        <r>
          <rPr>
            <sz val="9"/>
            <color indexed="81"/>
            <rFont val="Tahoma"/>
            <family val="2"/>
          </rPr>
          <t>Corrisponde a: Superficie complessiva x (Costo base di costruzione + maggiorazione)</t>
        </r>
      </text>
    </comment>
    <comment ref="D156" authorId="0">
      <text>
        <r>
          <rPr>
            <sz val="9"/>
            <color indexed="81"/>
            <rFont val="Tahoma"/>
            <family val="2"/>
          </rPr>
          <t>Aliquota in riferimento alla classe dell'edificio</t>
        </r>
      </text>
    </comment>
    <comment ref="G156" authorId="0">
      <text>
        <r>
          <rPr>
            <sz val="9"/>
            <color indexed="81"/>
            <rFont val="Tahoma"/>
            <family val="2"/>
          </rPr>
          <t>Corrisponde a: Superficie complessiva x (Costo base di costruzione + maggiorazione)</t>
        </r>
      </text>
    </comment>
    <comment ref="H156" authorId="0">
      <text>
        <r>
          <rPr>
            <sz val="9"/>
            <color indexed="81"/>
            <rFont val="Tahoma"/>
            <family val="2"/>
          </rPr>
          <t>Aliquota in riferimento alla classe dell'edificio</t>
        </r>
      </text>
    </comment>
    <comment ref="C157" authorId="0">
      <text>
        <r>
          <rPr>
            <sz val="9"/>
            <color indexed="81"/>
            <rFont val="Tahoma"/>
            <family val="2"/>
          </rPr>
          <t>Computo metrico</t>
        </r>
      </text>
    </comment>
    <comment ref="F157" authorId="0">
      <text>
        <r>
          <rPr>
            <sz val="9"/>
            <color indexed="81"/>
            <rFont val="Tahoma"/>
            <family val="2"/>
          </rPr>
          <t xml:space="preserve">Considera il computo metrico definito nel foglio "Costo Costruzione" </t>
        </r>
      </text>
    </comment>
    <comment ref="J157" authorId="0">
      <text>
        <r>
          <rPr>
            <sz val="9"/>
            <color indexed="81"/>
            <rFont val="Tahoma"/>
            <family val="2"/>
          </rPr>
          <t xml:space="preserve">Considera il computo metrico definito nel foglio "Costo Costruzione" </t>
        </r>
      </text>
    </comment>
    <comment ref="C158" authorId="0">
      <text>
        <r>
          <rPr>
            <sz val="9"/>
            <color indexed="81"/>
            <rFont val="Tahoma"/>
            <family val="2"/>
          </rPr>
          <t>Computo metrico</t>
        </r>
      </text>
    </comment>
    <comment ref="F158" authorId="0">
      <text>
        <r>
          <rPr>
            <sz val="9"/>
            <color indexed="81"/>
            <rFont val="Tahoma"/>
            <family val="2"/>
          </rPr>
          <t xml:space="preserve">Considera il computo metrico definito nel foglio "dati generali" </t>
        </r>
      </text>
    </comment>
    <comment ref="C159" authorId="0">
      <text>
        <r>
          <rPr>
            <sz val="9"/>
            <color indexed="81"/>
            <rFont val="Tahoma"/>
            <family val="2"/>
          </rPr>
          <t>Computo metrico</t>
        </r>
      </text>
    </comment>
    <comment ref="F159" authorId="0">
      <text>
        <r>
          <rPr>
            <sz val="9"/>
            <color indexed="81"/>
            <rFont val="Tahoma"/>
            <family val="2"/>
          </rPr>
          <t xml:space="preserve">Considera il computo metrico definito nel foglio "dati generali" </t>
        </r>
      </text>
    </comment>
    <comment ref="C160" authorId="0">
      <text>
        <r>
          <rPr>
            <sz val="9"/>
            <color indexed="81"/>
            <rFont val="Tahoma"/>
            <family val="2"/>
          </rPr>
          <t>Computo metrico</t>
        </r>
      </text>
    </comment>
    <comment ref="F160" authorId="0">
      <text>
        <r>
          <rPr>
            <sz val="9"/>
            <color indexed="81"/>
            <rFont val="Tahoma"/>
            <family val="2"/>
          </rPr>
          <t xml:space="preserve">Considera il computo metrico definito nel foglio "dati generali" </t>
        </r>
      </text>
    </comment>
    <comment ref="C161" authorId="0">
      <text>
        <r>
          <rPr>
            <sz val="9"/>
            <color indexed="81"/>
            <rFont val="Tahoma"/>
            <family val="2"/>
          </rPr>
          <t>Corrisponde a: Suprficie complessiva x (Costo base di costruzione + maggiorazione)</t>
        </r>
      </text>
    </comment>
    <comment ref="D161" authorId="0">
      <text>
        <r>
          <rPr>
            <sz val="9"/>
            <color indexed="81"/>
            <rFont val="Tahoma"/>
            <family val="2"/>
          </rPr>
          <t>Aliquota in riferimento alla classe dell'edificio</t>
        </r>
      </text>
    </comment>
    <comment ref="F162" authorId="0">
      <text>
        <r>
          <rPr>
            <sz val="9"/>
            <color indexed="81"/>
            <rFont val="Tahoma"/>
            <family val="2"/>
          </rPr>
          <t xml:space="preserve">Considera il computo metrico definito nel foglio "Costo Costruzione" </t>
        </r>
      </text>
    </comment>
  </commentList>
</comments>
</file>

<file path=xl/comments2.xml><?xml version="1.0" encoding="utf-8"?>
<comments xmlns="http://schemas.openxmlformats.org/spreadsheetml/2006/main">
  <authors>
    <author>Giovanni Sacco</author>
    <author>Manuel Maffeis</author>
  </authors>
  <commentList>
    <comment ref="C137" authorId="0">
      <text>
        <r>
          <rPr>
            <sz val="9"/>
            <color indexed="81"/>
            <rFont val="Tahoma"/>
            <family val="2"/>
          </rPr>
          <t>Corrisponde a: Superficie complessiva x (Costo base di costruzione + maggiorazione)</t>
        </r>
      </text>
    </comment>
    <comment ref="D137" authorId="1">
      <text>
        <r>
          <rPr>
            <sz val="9"/>
            <color indexed="81"/>
            <rFont val="Tahoma"/>
            <family val="2"/>
          </rPr>
          <t>Aliquota in base alla classe</t>
        </r>
      </text>
    </comment>
    <comment ref="G137" authorId="0">
      <text>
        <r>
          <rPr>
            <sz val="9"/>
            <color indexed="81"/>
            <rFont val="Tahoma"/>
            <family val="2"/>
          </rPr>
          <t>Corrisponde a: Superficie complessiva x (Costo base di costruzione + maggiorazione)</t>
        </r>
      </text>
    </comment>
    <comment ref="H137" authorId="1">
      <text>
        <r>
          <rPr>
            <sz val="9"/>
            <color indexed="81"/>
            <rFont val="Tahoma"/>
            <family val="2"/>
          </rPr>
          <t>Aliquota in base alla classe</t>
        </r>
      </text>
    </comment>
    <comment ref="F138" authorId="0">
      <text>
        <r>
          <rPr>
            <sz val="9"/>
            <color indexed="81"/>
            <rFont val="Tahoma"/>
            <family val="2"/>
          </rPr>
          <t xml:space="preserve">Considera il computo metrico definito nel foglio "Costo Costruzione" </t>
        </r>
      </text>
    </comment>
    <comment ref="J138" authorId="0">
      <text>
        <r>
          <rPr>
            <sz val="9"/>
            <color indexed="81"/>
            <rFont val="Tahoma"/>
            <family val="2"/>
          </rPr>
          <t xml:space="preserve">Considera il computo metrico definito nel foglio "Costo Costruzione" </t>
        </r>
      </text>
    </comment>
    <comment ref="C139" authorId="0">
      <text>
        <r>
          <rPr>
            <sz val="9"/>
            <color indexed="81"/>
            <rFont val="Tahoma"/>
            <family val="2"/>
          </rPr>
          <t>Computo metrico</t>
        </r>
      </text>
    </comment>
    <comment ref="F139" authorId="0">
      <text>
        <r>
          <rPr>
            <sz val="9"/>
            <color indexed="81"/>
            <rFont val="Tahoma"/>
            <family val="2"/>
          </rPr>
          <t xml:space="preserve">Considera il computo metrico definito nel foglio "Costo Costruzione" </t>
        </r>
      </text>
    </comment>
    <comment ref="J139" authorId="0">
      <text>
        <r>
          <rPr>
            <sz val="9"/>
            <color indexed="81"/>
            <rFont val="Tahoma"/>
            <family val="2"/>
          </rPr>
          <t xml:space="preserve">Considera il computo metrico definito nel foglio "Costo Costruzione" </t>
        </r>
      </text>
    </comment>
    <comment ref="C140" authorId="0">
      <text>
        <r>
          <rPr>
            <sz val="9"/>
            <color indexed="81"/>
            <rFont val="Tahoma"/>
            <family val="2"/>
          </rPr>
          <t>Computo metrico</t>
        </r>
      </text>
    </comment>
    <comment ref="F140" authorId="0">
      <text>
        <r>
          <rPr>
            <sz val="9"/>
            <color indexed="81"/>
            <rFont val="Tahoma"/>
            <family val="2"/>
          </rPr>
          <t xml:space="preserve">Considera il computo metrico definito nel foglio "dati generali" </t>
        </r>
      </text>
    </comment>
    <comment ref="C141" authorId="0">
      <text>
        <r>
          <rPr>
            <sz val="9"/>
            <color indexed="81"/>
            <rFont val="Tahoma"/>
            <family val="2"/>
          </rPr>
          <t>Computo metrico</t>
        </r>
      </text>
    </comment>
    <comment ref="F141" authorId="0">
      <text>
        <r>
          <rPr>
            <sz val="9"/>
            <color indexed="81"/>
            <rFont val="Tahoma"/>
            <family val="2"/>
          </rPr>
          <t xml:space="preserve">Considera il computo metrico definito nel foglio "dati generali" </t>
        </r>
      </text>
    </comment>
    <comment ref="C142" authorId="0">
      <text>
        <r>
          <rPr>
            <sz val="9"/>
            <color indexed="81"/>
            <rFont val="Tahoma"/>
            <family val="2"/>
          </rPr>
          <t>Computo metrico</t>
        </r>
      </text>
    </comment>
    <comment ref="F142" authorId="0">
      <text>
        <r>
          <rPr>
            <sz val="9"/>
            <color indexed="81"/>
            <rFont val="Tahoma"/>
            <family val="2"/>
          </rPr>
          <t xml:space="preserve">Considera il computo metrico definito nel foglio "dati generali" </t>
        </r>
      </text>
    </comment>
    <comment ref="C143" authorId="0">
      <text>
        <r>
          <rPr>
            <sz val="9"/>
            <color indexed="81"/>
            <rFont val="Tahoma"/>
            <family val="2"/>
          </rPr>
          <t>Corrisponde a: Suprficie complessiva x (Costo base di costruzione + maggiorazione)</t>
        </r>
      </text>
    </comment>
  </commentList>
</comments>
</file>

<file path=xl/comments3.xml><?xml version="1.0" encoding="utf-8"?>
<comments xmlns="http://schemas.openxmlformats.org/spreadsheetml/2006/main">
  <authors>
    <author>Giovanni Sacco</author>
    <author>Manuel Maffeis</author>
  </authors>
  <commentList>
    <comment ref="B3" authorId="0">
      <text>
        <r>
          <rPr>
            <sz val="9"/>
            <color indexed="81"/>
            <rFont val="Tahoma"/>
            <family val="2"/>
          </rPr>
          <t>Decreto interministeriale 2 aprile 1968, n. 1444, articolo 2</t>
        </r>
      </text>
    </comment>
    <comment ref="B5" authorId="1">
      <text>
        <r>
          <rPr>
            <sz val="9"/>
            <color indexed="81"/>
            <rFont val="Tahoma"/>
            <family val="2"/>
          </rPr>
          <t>Determina il pagamento di un'ammenda corrispondente al doppio del contributo di costruzione dovuto</t>
        </r>
      </text>
    </comment>
    <comment ref="B6" authorId="0">
      <text>
        <r>
          <rPr>
            <sz val="9"/>
            <color indexed="81"/>
            <rFont val="Tahoma"/>
            <family val="2"/>
          </rPr>
          <t>In base all'articolo 37 del DPR 380/2001, il responsabile dell'abuso o il proprietario dell'immobile possono ottenere la sanatoria dell'intervento versando la somma non superiore a 5164€ o 10329€ e non inferiore a 516€.
Allo stesso modo, in base all'articolo 6 dello stesso Decreto di legge, la mancata comunicazione dell'inizio dei lavori ovvero la mancata trasmissione della relazione tecnica, di cui ai commi 2 e 4 del presente articolo, comportano la sanzione pecuniaria pari a 258€. Tale sanzione è ridotta di due terzi se la comunicazione è effettuata spontaneamente quando l'intervento è in corso di esecuzione</t>
        </r>
      </text>
    </comment>
    <comment ref="B7" authorId="0">
      <text>
        <r>
          <rPr>
            <sz val="9"/>
            <color indexed="81"/>
            <rFont val="Tahoma"/>
            <family val="2"/>
          </rPr>
          <t>Nei casi di edilizia convenzionata, relativa anche a edifici esistenti, il contributo afferente al permesso di costruire è ridotto alla sola quota degli oneri di urbanizzazione.</t>
        </r>
      </text>
    </comment>
    <comment ref="B8" authorId="0">
      <text>
        <r>
          <rPr>
            <sz val="9"/>
            <color indexed="81"/>
            <rFont val="Tahoma"/>
            <family val="2"/>
          </rPr>
          <t>La Legge Regionale 13/2009 del 16 luglio è applicabile agli edifici parzialmente residenziali e a quelli non residenziali ubicati in zone a prevalente destinazione residenziale. Le nuove costruzioni dovranno avere un uso esclusivamente residenziale, senza poter beneficiare dei premi volumetrici.
La legge regionale individua quattro tipologie di intervento:
1. Recupero e riutilizzo di volumetrie abbandonate e sottoutilizzate.
2. Ampliamento fino al 20% (e comunque per non più di 300 metri cubi) del volume complessivo di edifici mono e bifamiliari, ovvero di edifici almeno tri-familiari con volumetria non superiore a 1.000 metri cubi.
3. Demolizione e ricostruzione di edifici residenziali e produttivi, con bonus volumetrico sino al 30% del volume preesistente, aumentabile al 35% in presenza di adeguate dotazioni di verde, cioè una dotazione arborea che copra almeno il 25% del lotto.
4. Riqualificazione di quartieri di edilizia residenziale pubblica.
Il piano casa Lombardia stabilisce la facoltà per i Comuni di ridurre gli oneri di urbanizzazione e il contributo sul costo della costruzione. Ove i Comuni non avessero deliberato entro il 15 ottobre 2009, si applicherà una riduzione del 30% del contributo di costruzione. Nel caso di edilizia residenziale pubblica in locazione il contributo di costruzione è limitato agli oneri di urbanizzazione, ridotti del 50%.</t>
        </r>
        <r>
          <rPr>
            <b/>
            <sz val="9"/>
            <color indexed="81"/>
            <rFont val="Tahoma"/>
            <family val="2"/>
          </rPr>
          <t xml:space="preserve">
Implica l'applicazione di una riduzione percentuale degli oneri di urbanizzazione o del costo di costruzione o di entrambi</t>
        </r>
      </text>
    </comment>
    <comment ref="B9" authorId="0">
      <text>
        <r>
          <rPr>
            <sz val="9"/>
            <color indexed="81"/>
            <rFont val="Tahoma"/>
            <family val="2"/>
          </rPr>
          <t>L’amministrazione Comunale, al fine di incentivare gli interventi di edilizia bioclimatica o finalizzati al risparmio energetico, applica un meccanismo premiale sulla determinazione del Contributo di costruzione, avvalendosi delle facoltà ammesse dal disposto di cui all’art. 12 della Legge regionale n.33 del 28/12/2007, a integrazione della Legge Regionale 26/95.
In tal senso, qualora gli interventi garantissero una prestazione energetica minima del sistema edificio-impianto corrispondente alla classe A o superiore, i muri perimetrali portanti e di tamponamento, nonché i solai che costituiscono involucro esterno di nuove costruzioni e di ristrutturazioni soggette al rispetto dei limiti di fabbisogno di energia primaria o di trasmittanza termica, previsti dalle disposizioni regionali in materia di risparmio energetico, non sono considerati nei computi per la determinazione della superficie lorda di pavimento (s.l.p.), dei volumi e dei rapporti di copertura.
In sintesi, nel calcolo degli oneri di urbanizzazione dovuti, si fa riferimento al volume netto e non al lordo.</t>
        </r>
      </text>
    </comment>
    <comment ref="F39" authorId="0">
      <text>
        <r>
          <rPr>
            <sz val="9"/>
            <color indexed="81"/>
            <rFont val="Tahoma"/>
            <family val="2"/>
          </rPr>
          <t>Il valore percentuale dedotto dal rapporto tra la superficie complessiva del lotto e la superficie agricola sottratta nello stato di fatto, rappresenta a tutti gli effetti la maggiorazione da applicare all'importo del contributo di costruzione</t>
        </r>
      </text>
    </comment>
    <comment ref="B40" authorId="0">
      <text>
        <r>
          <rPr>
            <sz val="9"/>
            <color indexed="81"/>
            <rFont val="Tahoma"/>
            <family val="2"/>
          </rPr>
          <t>L.R. 12/2005 art.43 comma 2-bis. Gli interventi di nuova costruzione che sottraggono superfici agricole nello stato di fatto sono assoggettati ad una maggiorazione percentuale del contributo di costruzione, determinata dai comuni entro un minimo dell'1,5 ed un massimo del 5 per cento, da destinare obbligatoriamente a interventi forestali a rilevanza ecologica e di incremento della naturalità.
(comma introdotto dalla legge reg. n. 4 del 2008, poi così modificato dall'articolo 21 della legge reg. n. 7 del 2010)</t>
        </r>
        <r>
          <rPr>
            <b/>
            <sz val="9"/>
            <color indexed="81"/>
            <rFont val="Tahoma"/>
            <family val="2"/>
          </rPr>
          <t xml:space="preserve">
Implica l'applicazione di una maggiorazione percentuale del contributo di costruzione</t>
        </r>
      </text>
    </comment>
  </commentList>
</comments>
</file>

<file path=xl/comments4.xml><?xml version="1.0" encoding="utf-8"?>
<comments xmlns="http://schemas.openxmlformats.org/spreadsheetml/2006/main">
  <authors>
    <author>Manuel Maffeis</author>
    <author>Giovanni Sacco</author>
  </authors>
  <commentList>
    <comment ref="E4" authorId="0">
      <text>
        <r>
          <rPr>
            <sz val="9"/>
            <color indexed="81"/>
            <rFont val="Tahoma"/>
            <family val="2"/>
          </rPr>
          <t>Superficie utile abitabile in mq.
Riguarda la superificie di pavimento degli alloggi misurata al netto di murature, pilastri, tramezzi, sguinci, vani di porte e finestre, di eventuali scale interne, di logge e balconi</t>
        </r>
      </text>
    </comment>
    <comment ref="E13" authorId="1">
      <text>
        <r>
          <rPr>
            <sz val="9"/>
            <color indexed="81"/>
            <rFont val="Tahoma"/>
            <family val="2"/>
          </rPr>
          <t>Superficie non residenziale in mq.
Le misurazioni vanno effettuate al netto di murature, pilastri e tramezzi, sguincie vani di porte e finestre</t>
        </r>
      </text>
    </comment>
  </commentList>
</comments>
</file>

<file path=xl/comments5.xml><?xml version="1.0" encoding="utf-8"?>
<comments xmlns="http://schemas.openxmlformats.org/spreadsheetml/2006/main">
  <authors>
    <author>Giovanni Sacco</author>
  </authors>
  <commentList>
    <comment ref="J2" authorId="0">
      <text>
        <r>
          <rPr>
            <sz val="9"/>
            <color indexed="81"/>
            <rFont val="Tahoma"/>
            <family val="2"/>
          </rPr>
          <t>Come da Delibera Giunta Regionale n. 5/53844 pubblicato su BURL 24/06/94 - 5° Suppl. Str. n.25</t>
        </r>
      </text>
    </comment>
  </commentList>
</comments>
</file>

<file path=xl/comments6.xml><?xml version="1.0" encoding="utf-8"?>
<comments xmlns="http://schemas.openxmlformats.org/spreadsheetml/2006/main">
  <authors>
    <author>Manuel Maffeis</author>
    <author>Giovanni Sacco</author>
    <author>Ufficio Tecnico</author>
  </authors>
  <commentList>
    <comment ref="E5" authorId="0">
      <text>
        <r>
          <rPr>
            <sz val="9"/>
            <color indexed="81"/>
            <rFont val="Tahoma"/>
            <family val="2"/>
          </rPr>
          <t>Superficie utile abitabile in mq</t>
        </r>
      </text>
    </comment>
    <comment ref="L24" authorId="1">
      <text>
        <r>
          <rPr>
            <sz val="9"/>
            <color indexed="81"/>
            <rFont val="Tahoma"/>
            <family val="2"/>
          </rPr>
          <t xml:space="preserve">Usa il tasto "x" per applicare la selezione, il tasto "o" invece per cancellare la selezione effettuata
</t>
        </r>
      </text>
    </comment>
    <comment ref="L35" authorId="2">
      <text>
        <r>
          <rPr>
            <sz val="8"/>
            <color indexed="81"/>
            <rFont val="Tahoma"/>
            <family val="2"/>
          </rPr>
          <t>Modificare manualmente il valore per ampliamenti indicando la superficie su cui viene calcolato il costo</t>
        </r>
        <r>
          <rPr>
            <sz val="8"/>
            <color indexed="81"/>
            <rFont val="Tahoma"/>
            <family val="2"/>
          </rPr>
          <t xml:space="preserve">
</t>
        </r>
      </text>
    </comment>
  </commentList>
</comments>
</file>

<file path=xl/comments7.xml><?xml version="1.0" encoding="utf-8"?>
<comments xmlns="http://schemas.openxmlformats.org/spreadsheetml/2006/main">
  <authors>
    <author>Manuel Maffeis</author>
    <author>Giovanni Sacco</author>
  </authors>
  <commentList>
    <comment ref="E5" authorId="0">
      <text>
        <r>
          <rPr>
            <sz val="9"/>
            <color indexed="81"/>
            <rFont val="Tahoma"/>
            <family val="2"/>
          </rPr>
          <t>Superficie utile abitabile in mq</t>
        </r>
      </text>
    </comment>
    <comment ref="L24" authorId="1">
      <text>
        <r>
          <rPr>
            <sz val="9"/>
            <color indexed="81"/>
            <rFont val="Tahoma"/>
            <family val="2"/>
          </rPr>
          <t>Usa il tasto "x" per applicare la selezione, il tasto "o" invece per cancellare la selezione effettuata</t>
        </r>
      </text>
    </comment>
  </commentList>
</comments>
</file>

<file path=xl/comments8.xml><?xml version="1.0" encoding="utf-8"?>
<comments xmlns="http://schemas.openxmlformats.org/spreadsheetml/2006/main">
  <authors>
    <author>Giovanni Sacco</author>
  </authors>
  <commentList>
    <comment ref="A2" authorId="0">
      <text>
        <r>
          <rPr>
            <sz val="9"/>
            <color indexed="81"/>
            <rFont val="Tahoma"/>
            <family val="2"/>
          </rPr>
          <t>l’art. 64, L.R. n.12/2005 dispone che gli interventi rivolti alla realizzazione di nuove unità immobiliari attraverso il recupero dei sottotetti comporti, allo stesso tempo, il reperimento di spazi per parcheggi. La misura dello standard a parcheggio deve rispettare il minimo di 1 m2 ogni 10 m3 della volumetria resa abitativa con un massimo di 25 m2 per ciascuna nuova unità immobiliare.</t>
        </r>
      </text>
    </comment>
  </commentList>
</comments>
</file>

<file path=xl/comments9.xml><?xml version="1.0" encoding="utf-8"?>
<comments xmlns="http://schemas.openxmlformats.org/spreadsheetml/2006/main">
  <authors>
    <author>Giovanni Sacco</author>
    <author>Manuel Maffeis</author>
    <author>Marco Vallino</author>
  </authors>
  <commentList>
    <comment ref="B52" authorId="0">
      <text>
        <r>
          <rPr>
            <sz val="9"/>
            <color indexed="81"/>
            <rFont val="Tahoma"/>
            <family val="2"/>
          </rPr>
          <t>Definire il codice univoco di classificazione delle aree normative di riferimento per il calcolo degli oneri di urbanizzazione</t>
        </r>
      </text>
    </comment>
    <comment ref="C52" authorId="0">
      <text>
        <r>
          <rPr>
            <sz val="9"/>
            <color indexed="81"/>
            <rFont val="Tahoma"/>
            <family val="2"/>
          </rPr>
          <t>Definire la denominazione relativa a ciascuna area normativa come da vigente piano urbanistico.
Tale denominazione comparirà nel foglio "Descrizione dell'intervento" in corrispondenza dell'area normativa selezionata</t>
        </r>
      </text>
    </comment>
    <comment ref="C71" authorId="0">
      <text>
        <r>
          <rPr>
            <sz val="9"/>
            <color indexed="81"/>
            <rFont val="Tahoma"/>
            <family val="2"/>
          </rPr>
          <t>Elenco descrittivo di default delle destinazioni d'uso.
La denominazione è personalizzabile e le variazioni apportate saranno applicate in tutte le parti del foglio di calcolo in cui sono riscontrabili</t>
        </r>
      </text>
    </comment>
    <comment ref="C87" authorId="0">
      <text>
        <r>
          <rPr>
            <sz val="9"/>
            <color indexed="81"/>
            <rFont val="Tahoma"/>
            <family val="2"/>
          </rPr>
          <t>La denominazione è personalizzabile e le variazioni apportate saranno applicate in tutte le parti del foglio di calcolo in cui sono riscontrabili</t>
        </r>
      </text>
    </comment>
    <comment ref="E87" authorId="0">
      <text>
        <r>
          <rPr>
            <sz val="9"/>
            <color indexed="81"/>
            <rFont val="Tahoma"/>
            <family val="2"/>
          </rPr>
          <t>Importo unitario (€ al mq)</t>
        </r>
      </text>
    </comment>
    <comment ref="C95" authorId="0">
      <text>
        <r>
          <rPr>
            <sz val="9"/>
            <color indexed="81"/>
            <rFont val="Tahoma"/>
            <family val="2"/>
          </rPr>
          <t>La denominazione è personalizzabile e le variazioni apportate saranno applicate in tutte le parti del foglio di calcolo in cui sono riscontrabili</t>
        </r>
      </text>
    </comment>
    <comment ref="E95" authorId="0">
      <text>
        <r>
          <rPr>
            <sz val="9"/>
            <color indexed="81"/>
            <rFont val="Tahoma"/>
            <family val="2"/>
          </rPr>
          <t>Importo unitario (€ al mq)</t>
        </r>
      </text>
    </comment>
    <comment ref="B114" authorId="1">
      <text>
        <r>
          <rPr>
            <sz val="9"/>
            <color indexed="81"/>
            <rFont val="Tahoma"/>
            <family val="2"/>
          </rPr>
          <t xml:space="preserve">Riduzione prevista dal  "piano casa" per gli oneri di urbanizzazione
</t>
        </r>
      </text>
    </comment>
    <comment ref="B115" authorId="1">
      <text>
        <r>
          <rPr>
            <sz val="9"/>
            <color indexed="81"/>
            <rFont val="Tahoma"/>
            <family val="2"/>
          </rPr>
          <t xml:space="preserve">Riduzione prevista dal  "piano casa" per gli oneri di urbanizzazione
</t>
        </r>
      </text>
    </comment>
    <comment ref="C115" authorId="1">
      <text>
        <r>
          <rPr>
            <sz val="9"/>
            <color indexed="81"/>
            <rFont val="Tahoma"/>
            <family val="2"/>
          </rPr>
          <t>Riduzione prevista dal  "piano casa" per il contributo sul costo di costruzione</t>
        </r>
      </text>
    </comment>
    <comment ref="B118" authorId="0">
      <text>
        <r>
          <rPr>
            <sz val="9"/>
            <color indexed="81"/>
            <rFont val="Tahoma"/>
            <family val="2"/>
          </rPr>
          <t>L.R. 12/2005 art.43 comma 2-bis. Gli interventi di nuova costruzione che sottraggono superfici agricole nello stato di fatto sono assoggettati ad una maggiorazione percentuale del contributo di costruzione, determinata dai comuni entro un minimo dell'1,5 ed un massimo del 5 per cento, da destinare obbligatoriamente a interventi forestali a rilevanza ecologica e di incremento della naturalità.
(comma introdotto dalla legge reg. n. 4 del 2008, poi così modificato dall'articolo 21 della legge reg. n. 7 del 2010)</t>
        </r>
        <r>
          <rPr>
            <b/>
            <sz val="9"/>
            <color indexed="81"/>
            <rFont val="Tahoma"/>
            <family val="2"/>
          </rPr>
          <t xml:space="preserve">
Implica l'applicazione di una maggiorazione percentuale del contributo di costruzione</t>
        </r>
      </text>
    </comment>
    <comment ref="B119" authorId="2">
      <text>
        <r>
          <rPr>
            <sz val="8"/>
            <color indexed="81"/>
            <rFont val="Tahoma"/>
            <family val="2"/>
          </rPr>
          <t>Inserire un valore compreso tra 1,5 e 5</t>
        </r>
      </text>
    </comment>
  </commentList>
</comments>
</file>

<file path=xl/sharedStrings.xml><?xml version="1.0" encoding="utf-8"?>
<sst xmlns="http://schemas.openxmlformats.org/spreadsheetml/2006/main" count="1095" uniqueCount="358">
  <si>
    <t>Ristrutturazione</t>
  </si>
  <si>
    <t>Residenziale</t>
  </si>
  <si>
    <t>=</t>
  </si>
  <si>
    <t xml:space="preserve"> =</t>
  </si>
  <si>
    <t>C.M.x</t>
  </si>
  <si>
    <t>Nuova edificazione</t>
  </si>
  <si>
    <t>E</t>
  </si>
  <si>
    <t>Minimo</t>
  </si>
  <si>
    <t>Maggiorazione</t>
  </si>
  <si>
    <t>I</t>
  </si>
  <si>
    <t>II</t>
  </si>
  <si>
    <t>III</t>
  </si>
  <si>
    <t>IV</t>
  </si>
  <si>
    <t>V</t>
  </si>
  <si>
    <t>VI</t>
  </si>
  <si>
    <t>VII</t>
  </si>
  <si>
    <t>VIII</t>
  </si>
  <si>
    <t>IX</t>
  </si>
  <si>
    <t>X</t>
  </si>
  <si>
    <t>XI</t>
  </si>
  <si>
    <t>%</t>
  </si>
  <si>
    <t>Tabella 1</t>
  </si>
  <si>
    <t>riservata</t>
  </si>
  <si>
    <t>Classi sup.</t>
  </si>
  <si>
    <t>all'ufficio</t>
  </si>
  <si>
    <t>Sua / Su</t>
  </si>
  <si>
    <t>i</t>
  </si>
  <si>
    <t>Increm.</t>
  </si>
  <si>
    <t>0</t>
  </si>
  <si>
    <t>&gt;110 &lt;=130</t>
  </si>
  <si>
    <t>&gt;130 &lt;=160</t>
  </si>
  <si>
    <t>&gt;160</t>
  </si>
  <si>
    <t>S.u. =</t>
  </si>
  <si>
    <t xml:space="preserve"> </t>
  </si>
  <si>
    <t>i1=</t>
  </si>
  <si>
    <t>Tabella 2</t>
  </si>
  <si>
    <t>Tabella 3</t>
  </si>
  <si>
    <t>S.n.r. mq</t>
  </si>
  <si>
    <t>Snr / Su</t>
  </si>
  <si>
    <t>I-II-III</t>
  </si>
  <si>
    <t>&gt;50&lt;= 75</t>
  </si>
  <si>
    <t>IV-V-VI-VII-VIII</t>
  </si>
  <si>
    <t>autorimesse</t>
  </si>
  <si>
    <t>&gt;75&lt;=100</t>
  </si>
  <si>
    <t>IX-X-XI</t>
  </si>
  <si>
    <t>androni e porticati liberi</t>
  </si>
  <si>
    <t>&gt;100</t>
  </si>
  <si>
    <t>commerciali</t>
  </si>
  <si>
    <t>logge e balconi</t>
  </si>
  <si>
    <t>Snr/Su x 100</t>
  </si>
  <si>
    <t>i2=</t>
  </si>
  <si>
    <t>turistiche</t>
  </si>
  <si>
    <t>S.n.r.  =</t>
  </si>
  <si>
    <t>direzionali</t>
  </si>
  <si>
    <t>Tabella 4</t>
  </si>
  <si>
    <t>parte RESIDENZIALE</t>
  </si>
  <si>
    <t>n. caratt.</t>
  </si>
  <si>
    <t>O</t>
  </si>
  <si>
    <t>caratteristiche di tabella 4</t>
  </si>
  <si>
    <t>o</t>
  </si>
  <si>
    <t>più di un ascensore per scala</t>
  </si>
  <si>
    <t>scala di servizio non prescritta</t>
  </si>
  <si>
    <t>altezze interne maggiori di 270</t>
  </si>
  <si>
    <t>piscina per meno di 15 unità</t>
  </si>
  <si>
    <t>alloggio custode per meno di 15 unità</t>
  </si>
  <si>
    <t>i3=</t>
  </si>
  <si>
    <t>parte COMMERCIO/TERZIARIO</t>
  </si>
  <si>
    <t>Classe</t>
  </si>
  <si>
    <t>i1+i2+i3= i=</t>
  </si>
  <si>
    <t>S.c. + S.t. = mq</t>
  </si>
  <si>
    <t xml:space="preserve"> (solo se S.t. &lt;= S.u. x 25 %)</t>
  </si>
  <si>
    <t>RESIDENZA</t>
  </si>
  <si>
    <t>TERZIARIO</t>
  </si>
  <si>
    <t>D) x aliquota</t>
  </si>
  <si>
    <t xml:space="preserve">                                                                                                                                                                                                                                                                                                            </t>
  </si>
  <si>
    <t>R) x aliquota</t>
  </si>
  <si>
    <t>T) x aliquota</t>
  </si>
  <si>
    <t>.</t>
  </si>
  <si>
    <t>Oneri di urbanizzazione</t>
  </si>
  <si>
    <t>Costo costruzione</t>
  </si>
  <si>
    <t>Massimo (compreso)</t>
  </si>
  <si>
    <t>Monetizzazione parcheggi</t>
  </si>
  <si>
    <t>primaria</t>
  </si>
  <si>
    <t>secondaria</t>
  </si>
  <si>
    <t>smaltimento rifiuti</t>
  </si>
  <si>
    <t>Smaltimento rifiuti</t>
  </si>
  <si>
    <r>
      <t>¦</t>
    </r>
    <r>
      <rPr>
        <sz val="9"/>
        <rFont val="Arial"/>
        <family val="2"/>
      </rPr>
      <t xml:space="preserve"> x</t>
    </r>
  </si>
  <si>
    <t>Industria alberghiera</t>
  </si>
  <si>
    <t>Altri costi</t>
  </si>
  <si>
    <t>U.I.</t>
  </si>
  <si>
    <t>CLASSE EDIFICIO</t>
  </si>
  <si>
    <t>meno di 50.000 abit</t>
  </si>
  <si>
    <t>Attrezzature sportive</t>
  </si>
  <si>
    <t>Attrezzature spettacolo</t>
  </si>
  <si>
    <t>Costo costruzione sottotetti</t>
  </si>
  <si>
    <t>Maggiorazione urbanizzazione primaria sottotetti</t>
  </si>
  <si>
    <t>No</t>
  </si>
  <si>
    <t>Maggiorazione costo costruzione sottotetti</t>
  </si>
  <si>
    <t>Superficie di calcolo</t>
  </si>
  <si>
    <t>Superficie parcheggio</t>
  </si>
  <si>
    <t>Computo metrico</t>
  </si>
  <si>
    <t xml:space="preserve">Superficie da monetizzare </t>
  </si>
  <si>
    <t>Zona</t>
  </si>
  <si>
    <t>Denominazione</t>
  </si>
  <si>
    <t>D</t>
  </si>
  <si>
    <t>Totale</t>
  </si>
  <si>
    <t>Monetizzazione aree standards</t>
  </si>
  <si>
    <t>Tipo intervento:</t>
  </si>
  <si>
    <t>Recupero sottotetti ai fini abitativi</t>
  </si>
  <si>
    <t>Maggiorazione urbanizzazione sec sottotetti</t>
  </si>
  <si>
    <t>S.u.a.</t>
  </si>
  <si>
    <t>Alloggi n.</t>
  </si>
  <si>
    <t>&lt;= 50</t>
  </si>
  <si>
    <t>S.u. = Sup. utile abitabile</t>
  </si>
  <si>
    <t>S.n.r. = Sup. non residenziale</t>
  </si>
  <si>
    <t>60 % di S.n.r. = Sup. ragg.</t>
  </si>
  <si>
    <t>S.c. = Sup. Complessiva</t>
  </si>
  <si>
    <t>S.n. = Sup. netta</t>
  </si>
  <si>
    <t>S.a. = Sup. accessoria</t>
  </si>
  <si>
    <t>60 % di S.a. = Sup. ragg.</t>
  </si>
  <si>
    <t>S.t.= Sup. totale</t>
  </si>
  <si>
    <t>Sì</t>
  </si>
  <si>
    <t>Destinazione d'uso</t>
  </si>
  <si>
    <t>Modalità calcolo:</t>
  </si>
  <si>
    <t>Monetizzazione aree per dotazioni territoriali servizi e parcheggi</t>
  </si>
  <si>
    <t>Contributo sul costo di costruzione per progetto</t>
  </si>
  <si>
    <t>Sottotetti</t>
  </si>
  <si>
    <t>Computo estimativo</t>
  </si>
  <si>
    <t>Sup. di calcolo</t>
  </si>
  <si>
    <t>D) EDIFICIO = (Sc + St se inf.al 25 %) x C</t>
  </si>
  <si>
    <t>B) RESIDENZIALE  (da D.M.)</t>
  </si>
  <si>
    <t>C) MAGGIORATO = B x (1 + M. / 100)</t>
  </si>
  <si>
    <t>su base tabella ministero</t>
  </si>
  <si>
    <t>per residenza da computo estimativo</t>
  </si>
  <si>
    <t>per terziario da computo estimativo</t>
  </si>
  <si>
    <t>SUL COSTO DI COSTRUZIONE TOTALE</t>
  </si>
  <si>
    <t>per rinnovi di Concessione o conguagli</t>
  </si>
  <si>
    <t>per varianti od ampliamenti comparativi</t>
  </si>
  <si>
    <t>Aliquota</t>
  </si>
  <si>
    <t>Risparmio energetico</t>
  </si>
  <si>
    <t>Contributo sul costo di costruzione per differenza tra progetto e stato di fatto</t>
  </si>
  <si>
    <t>Contributo sul costo di costruzione per stato di fatto</t>
  </si>
  <si>
    <t>Contributo sul costo di costruzione</t>
  </si>
  <si>
    <t>Recupero sottotetti ai fini abitativi esclusa maggiorazione</t>
  </si>
  <si>
    <t>Tabella 2-3</t>
  </si>
  <si>
    <t>Oneri urbanizzazione primaria totale</t>
  </si>
  <si>
    <t>Oneri urbanizzazione secondaria totale</t>
  </si>
  <si>
    <t>Oneri urbanizzazione primaria sottotetti</t>
  </si>
  <si>
    <t>Oneri urbanizzazione secondaria sottotetti</t>
  </si>
  <si>
    <t>Sanzione</t>
  </si>
  <si>
    <t>Commercio/Terziario</t>
  </si>
  <si>
    <t>Costo costruzione già corrisposto</t>
  </si>
  <si>
    <t>Oneri urbanizzazione secondaria già corrisposti</t>
  </si>
  <si>
    <t>Oneri urbanizzazione</t>
  </si>
  <si>
    <t>Contributo costruzione</t>
  </si>
  <si>
    <t>Oneri urbanizzazione primaria già corrisposti</t>
  </si>
  <si>
    <t>B</t>
  </si>
  <si>
    <t>C</t>
  </si>
  <si>
    <t>Costo di costruzione già corrisposto</t>
  </si>
  <si>
    <t>-</t>
  </si>
  <si>
    <t>Destinazione iniziale</t>
  </si>
  <si>
    <t>Destinazione finale</t>
  </si>
  <si>
    <t>Area normativa</t>
  </si>
  <si>
    <t>Maggiorazione per Fondo Aree verdi</t>
  </si>
  <si>
    <t>Maggiorazione per fondo aree verdi</t>
  </si>
  <si>
    <t>Ristrutturazione/Ampliamento</t>
  </si>
  <si>
    <t>Nuova costruzione</t>
  </si>
  <si>
    <t>Data</t>
  </si>
  <si>
    <t>Programmatore</t>
  </si>
  <si>
    <t>Maffeis</t>
  </si>
  <si>
    <t>Descrizione</t>
  </si>
  <si>
    <t>Aggiunto campo diritti segreteria variabile tra un valore minimo ed uno massimo</t>
  </si>
  <si>
    <t>Dati generali-&gt;onerosa in sanatoria forfettaria, campo libero non più editabile in base alla selezione fatta nel combobox.</t>
  </si>
  <si>
    <t>Versione</t>
  </si>
  <si>
    <t>2.2.6</t>
  </si>
  <si>
    <t>2.2.5</t>
  </si>
  <si>
    <t>2.2.4</t>
  </si>
  <si>
    <t>Rimosse le etichette "personalizzazione" non utilizzate</t>
  </si>
  <si>
    <t>Inserire zona urbanistica da PGT</t>
  </si>
  <si>
    <t>?</t>
  </si>
  <si>
    <t>Consistenza</t>
  </si>
  <si>
    <t>Consistenza reale</t>
  </si>
  <si>
    <t>Consistenza virtuale</t>
  </si>
  <si>
    <t>2.2.7</t>
  </si>
  <si>
    <t>Aggiunta la possibilità di definire lo smaltimento rifiuti su ciascuna destinazione d'uso presente, comprese le personalizzazioni</t>
  </si>
  <si>
    <t>L'intervento implica oneri di urbanizzazione primaria</t>
  </si>
  <si>
    <t>L'intervento implica oneri di urbanizzazione secondaria</t>
  </si>
  <si>
    <t>Sono già stati corrisposti oneri di urbanizzazione primaria per un importo pari a</t>
  </si>
  <si>
    <t>Descrizione dell'intervento</t>
  </si>
  <si>
    <t>L'intervento ricade in area normativa</t>
  </si>
  <si>
    <t>Urbanizzazione primaria</t>
  </si>
  <si>
    <t>Oneri per il recupero dei sottotetti</t>
  </si>
  <si>
    <t>Maggiorazione sugli oneri dovuti per il recupero dei sottotetti a fini abitativi</t>
  </si>
  <si>
    <t>Oneri già corrisposti</t>
  </si>
  <si>
    <t>Sanzione per interventi eseguiti in sanatoria</t>
  </si>
  <si>
    <t>Riduzione per l'applicazione del "piano casa"</t>
  </si>
  <si>
    <t>Contributo dovuto</t>
  </si>
  <si>
    <t>Contributo per il recupero di sottotetti</t>
  </si>
  <si>
    <t>Maggiorazione sul contributo per il recupero dei sottotetti a fini abitativi</t>
  </si>
  <si>
    <t>Contributo già corrisposto</t>
  </si>
  <si>
    <t>Riduzione per l'applicazione del piano casa</t>
  </si>
  <si>
    <t>Urbanizzazione secondaria</t>
  </si>
  <si>
    <t>Contributo di costruzione comprensivo di altri costi</t>
  </si>
  <si>
    <t>Riepilogo degli importi dovuti a titolo di contributo di costruzione</t>
  </si>
  <si>
    <t>Elementi per il calcolo del contributo sul costo di costruzione</t>
  </si>
  <si>
    <t>Parametri per il calcolo nel caso di nuova edificazione</t>
  </si>
  <si>
    <t>Sanzione pecuniaria per interventi in sanatoria</t>
  </si>
  <si>
    <t>L'intervento fruisce della riduzione prevista dal "piano casa"</t>
  </si>
  <si>
    <t>Sono già stati corrisposti oneri di urbanizzazione secondaria per un importo pari a</t>
  </si>
  <si>
    <t>Parametri per il calcolo nel caso di ristrutturazione edilizia</t>
  </si>
  <si>
    <t>Parametri per il calcolo nel caso di cambio di destinazione d'uso</t>
  </si>
  <si>
    <t>Consistenza finale</t>
  </si>
  <si>
    <t>Superficie lotto</t>
  </si>
  <si>
    <t xml:space="preserve">Consistenza finale </t>
  </si>
  <si>
    <t>Consistenza inziale</t>
  </si>
  <si>
    <t>Parametri per il calcolo nel caso di intervento di recupero dei sottotetti ai fini abitativi</t>
  </si>
  <si>
    <t>L'intervento ricade nella zona</t>
  </si>
  <si>
    <t>Selezionare la zona</t>
  </si>
  <si>
    <t>Oneri urbanizzazione primaria</t>
  </si>
  <si>
    <t>Oneri urbanizzazione secondaria</t>
  </si>
  <si>
    <t>Smaltimrnto rifiuti</t>
  </si>
  <si>
    <t>Calcolo degli importi dovuti a titolo di oneri di urbanizzazione nel caso di interventi di nuova edificazione e/o ristrutturazione</t>
  </si>
  <si>
    <t>Calcolo degli importi dovuti a titolo di oneri di urbanizzazione nel caso di interventi di cambio destinazione d'uso</t>
  </si>
  <si>
    <t>Sanzione applicata agli oneri di urbanizzazione primaria per interventi in sanatoria</t>
  </si>
  <si>
    <t>Sanzione applicata agli oneri di urbanizzazione secondaria per interventi in sanatoria</t>
  </si>
  <si>
    <t>Sanzione applicata al contributo per interventi eseguiti in sanatoria</t>
  </si>
  <si>
    <t>Contributo sul costo di costruzione comprensivo di altri costi</t>
  </si>
  <si>
    <t>Maggiorazione sugli oneri di urbanizzazione per Fondo Aree Verdi</t>
  </si>
  <si>
    <t>Maggiorazione sul costo di costruzione per Fondo Aree Verdi</t>
  </si>
  <si>
    <t>Contributo costruzione comprensivo altri costi</t>
  </si>
  <si>
    <t>Cantine, soffitte, lavatoi, locali termici e simili</t>
  </si>
  <si>
    <t>cantine, soffitte, lavatoi, locali termici e simili</t>
  </si>
  <si>
    <t>S.c. = Sup. complessiva</t>
  </si>
  <si>
    <t>&lt;= 95</t>
  </si>
  <si>
    <t>&gt; 95 &lt;=110</t>
  </si>
  <si>
    <t>S.n.r.</t>
  </si>
  <si>
    <t>M.% maggiorazione</t>
  </si>
  <si>
    <t>Accessori</t>
  </si>
  <si>
    <t>Tabella 4 e relative caratteristiche</t>
  </si>
  <si>
    <t>Contributo sul costo di costruzione per lo stato di fatto (D. M. 10/5/1977)</t>
  </si>
  <si>
    <t>CONTRIBUTO SUL COSTO DI COSTRUZIONE (al mq):</t>
  </si>
  <si>
    <t>CONTRIBUTO:</t>
  </si>
  <si>
    <t>CONTRIBUTO GIA' CORRISPOSTO:</t>
  </si>
  <si>
    <t>CONTRIBUTO SUL COSTO DI COSTRUZIONE DOVUTO:</t>
  </si>
  <si>
    <t>CONTRIBUTO SUL COSTO  DI COSTRUZIONE (al mq):</t>
  </si>
  <si>
    <t>R=</t>
  </si>
  <si>
    <t>T=</t>
  </si>
  <si>
    <t>Recupero sottotetti: calcolo superficie da adibire a parcheggio</t>
  </si>
  <si>
    <t>Volume singola unità immobiliare</t>
  </si>
  <si>
    <t>Contributo sul costo di costruzione per lo stato di progetto (D. M. 10/5/1977)</t>
  </si>
  <si>
    <t>Zone territoriali omogenee di riferimento per il calcolo degli oneri di urbanizzazione</t>
  </si>
  <si>
    <t>Destinazioni d'uso previste per il calcolo degli oneri di urbanizzazione</t>
  </si>
  <si>
    <t>Zona 1</t>
  </si>
  <si>
    <t>Zone di riferimento per il calcolo della monetizzazione parcheggi</t>
  </si>
  <si>
    <t>Contributo base al mq sul costo di costruzione</t>
  </si>
  <si>
    <t>Maggiorazione in caso di  recupero dei sottotetti ai fini abitativi</t>
  </si>
  <si>
    <t>Urb. primaria</t>
  </si>
  <si>
    <t>Urb. secondaria</t>
  </si>
  <si>
    <t>Oneri urbanizz.</t>
  </si>
  <si>
    <t>Costo costruz.</t>
  </si>
  <si>
    <t>Riduzione per "Piano casa"</t>
  </si>
  <si>
    <t>Importo</t>
  </si>
  <si>
    <t>L'intervento è in sanatoria</t>
  </si>
  <si>
    <t>L'intervento rientra nell'ambito dell'edilizia convenzionata</t>
  </si>
  <si>
    <t>L'intervento fruisce della riduzione per risparmio energetico</t>
  </si>
  <si>
    <t>Oneri urbanizzazione primaria nel caso di interventi di nuova edificazione e/o ristrutturazione</t>
  </si>
  <si>
    <t>Oneri urbanizzazione secondaria nel caso di interventi di nuova edificazione e/o ristrutturazione</t>
  </si>
  <si>
    <t>Smaltimento rifiuti nel caso di interventi di nuova edificazione e/o ristrutturazione</t>
  </si>
  <si>
    <t>Oneri urbanizzazione primaria nel caso di interventi di cambio destinazione d'uso</t>
  </si>
  <si>
    <t>Oneri urbanizzazione secondaria nel caso di interventi di cambio destinazione d'uso</t>
  </si>
  <si>
    <t>Smaltimento rifiuti nel caso di interventi di cambio destinazione d'uso</t>
  </si>
  <si>
    <t>Totale oneri riferiti alla destinazione iniziale</t>
  </si>
  <si>
    <t>Totale oneri riferiti alla destinazione finale</t>
  </si>
  <si>
    <t>Calcolo degli importi dovuti a titolo di contributo sul costo di costruzione</t>
  </si>
  <si>
    <t>B) - COSTO (al mq) DI COSTRUZIONE RESIDENZIALE  (da D.M.)</t>
  </si>
  <si>
    <t>C) - COSTO (al mq) DI COSTRUZIONE MAGGIORATO = B x (1 + M. / 100)</t>
  </si>
  <si>
    <t>B) RESIDENZIALE</t>
  </si>
  <si>
    <t>C) MAGGIORATO = B x (1 + M / 100)</t>
  </si>
  <si>
    <t>L'intervento implica il pagamento di una sanzione pecuniaria per interventi in sanatoria per un importo pari a</t>
  </si>
  <si>
    <t>Parametri per il calcolo della maggiorazione prevista nel caso in cui l'intervento sottragga superficie agricola nello stato di fatto</t>
  </si>
  <si>
    <t>Superficie agricola sottratta</t>
  </si>
  <si>
    <t>Numero di unità immobiliari</t>
  </si>
  <si>
    <t>Volume dei sottotetti</t>
  </si>
  <si>
    <t>Totale degli incrementi</t>
  </si>
  <si>
    <t>Classe dell'edificio</t>
  </si>
  <si>
    <t>Maggiorazione del costo base di costruzione</t>
  </si>
  <si>
    <t>Superficie complessiva per intervento di nuova costruzione</t>
  </si>
  <si>
    <t>Superficie complessiva per intervento di ristrutturazione o ampliamento</t>
  </si>
  <si>
    <t>Superficie complessiva per intervento di recupero dei sottotetti</t>
  </si>
  <si>
    <t>x</t>
  </si>
  <si>
    <t>Oneri di urbanizzazione nel caso di interventi di nuova edificazione e/o ristrutturazione</t>
  </si>
  <si>
    <t>Oneri di urbanizzazione nel caso di interventi di cambio destinazione d'uso</t>
  </si>
  <si>
    <t>Cambio di destinazione d'uso</t>
  </si>
  <si>
    <t>Torna alla procedura guidata!</t>
  </si>
  <si>
    <t>Calcola gli oneri di urbanizzazione</t>
  </si>
  <si>
    <t>PERCENTUALI DEL COSTO</t>
  </si>
  <si>
    <t>Opzioni</t>
  </si>
  <si>
    <t>Oneri dovuti nel caso di nuova edificazione e/o ristrutturazione</t>
  </si>
  <si>
    <t>Maggiorazione per il recupero dei sottotetti a fini abitativi</t>
  </si>
  <si>
    <t>Calcola il costo di costruzione</t>
  </si>
  <si>
    <t>Calcola il costo di       costruzione comparativo</t>
  </si>
  <si>
    <t>Aliquota per computo estimativo del terziaio</t>
  </si>
  <si>
    <t>Nuova costruz.</t>
  </si>
  <si>
    <t>Ristrutt. e ampliam.</t>
  </si>
  <si>
    <t>Calcolo costo costruzione</t>
  </si>
  <si>
    <t>a dedurre</t>
  </si>
  <si>
    <t>Visualizza il riepilogo analitico degli oneri e costi</t>
  </si>
  <si>
    <t>Determina la classe dell'edificio</t>
  </si>
  <si>
    <t>Calcola la superficie da adibire a parcheggi</t>
  </si>
  <si>
    <t>A</t>
  </si>
  <si>
    <t>Calcola la monetizzazione standards/parcheggi</t>
  </si>
  <si>
    <t>Compilazione completata!</t>
  </si>
  <si>
    <t>Oneri di urbanizzazione primaria nel caso di interventi di cambio destinazione d'uso</t>
  </si>
  <si>
    <t>Oneri di urbanizzazione secondaria nel caso di interventi di cambio destinazione d'uso</t>
  </si>
  <si>
    <t>Ampliamento</t>
  </si>
  <si>
    <t>Visualizza il riepilogo generale</t>
  </si>
  <si>
    <t>Calcola gli  oneri di urbanizzazione</t>
  </si>
  <si>
    <t>Costo per lo stato di fatto</t>
  </si>
  <si>
    <t>Costo per lo stato di progetto</t>
  </si>
  <si>
    <t>3,0,0</t>
  </si>
  <si>
    <t>Sacco</t>
  </si>
  <si>
    <t>Rivisitazione grafica e predisposizione della procedura guidata</t>
  </si>
  <si>
    <t>Attiva la procedura</t>
  </si>
  <si>
    <r>
      <rPr>
        <sz val="8"/>
        <rFont val="Arial"/>
        <family val="2"/>
      </rPr>
      <t>Apponi la "x" sulla cella gialla</t>
    </r>
    <r>
      <rPr>
        <sz val="8"/>
        <color indexed="23"/>
        <rFont val="Arial"/>
        <family val="2"/>
      </rPr>
      <t xml:space="preserve"> che riguarda dapprima la descrizione dell'intervento e di seguito le tipologie di calcolo relative all'intervento o gli interventi di proprio interesse. Il link posto all'interno della cella selezionata ti indirizzerà sul foglio da compilare. Terminata la compilazione dei dati richiesti, la cella relativa al tipo di calcolo selezionato </t>
    </r>
    <r>
      <rPr>
        <sz val="8"/>
        <rFont val="Arial"/>
        <family val="2"/>
      </rPr>
      <t>si colorerà di verde</t>
    </r>
    <r>
      <rPr>
        <sz val="8"/>
        <color indexed="23"/>
        <rFont val="Arial"/>
        <family val="2"/>
      </rPr>
      <t>. Ultimato il calcolo del contributo di costruzione, apponi la "x" sulla cella "Compilazione completata!" e visualizza la tipologia di riepilogo desiderata.</t>
    </r>
  </si>
  <si>
    <t>Destinazione personalizzata 4</t>
  </si>
  <si>
    <t>Destinazione personalizzata 5</t>
  </si>
  <si>
    <t>3,0,1</t>
  </si>
  <si>
    <t>Introdotte le personalizzazioni4 e personalizzazioni5 per le destinazioni d'uso.</t>
  </si>
  <si>
    <t>Nella determinazione della classe vengono considerate le tabelle relative ai valori percentuali in funzione del numero di abitanti</t>
  </si>
  <si>
    <t>Comune con meno di 50.000 abitanti</t>
  </si>
  <si>
    <t>Tipologia</t>
  </si>
  <si>
    <t>Contributo sul costo di costruzione - classi di edifici e relative maggiorazioni per comuni con meno di 50.000 abitanti</t>
  </si>
  <si>
    <t>Contributo sul costo di costruzione - classi di edifici e relative maggiorazioni per comuni con più di 50.000 abitanti</t>
  </si>
  <si>
    <t>Oneri dovuti nel caso di interventi di nuova edificazione e/o ristrutturazione</t>
  </si>
  <si>
    <t>Oneri dovuti nel caso di interventi di cambio destinazione d'uso</t>
  </si>
  <si>
    <t>Zona C</t>
  </si>
  <si>
    <t>Zona D</t>
  </si>
  <si>
    <t>Zona E</t>
  </si>
  <si>
    <t>Recupero abitativo dei sottotetti: parametri di calcolo della superficie da adibire a  parcheggio</t>
  </si>
  <si>
    <t>Superficie da adibire a  parcheggio</t>
  </si>
  <si>
    <t>ZTS</t>
  </si>
  <si>
    <t>ZTR1, ZTR2, ZTR3, ATIRU, ZTP, ZTA, ZVP, ZARA</t>
  </si>
  <si>
    <t>Artigianato e piccola industria</t>
  </si>
  <si>
    <t>Industria</t>
  </si>
  <si>
    <t>Industriale alberghiera (alberghi)</t>
  </si>
  <si>
    <t>Industriale alberghiera (altre tipologie)</t>
  </si>
  <si>
    <t>Attività direzionali e commerciali</t>
  </si>
  <si>
    <t>Parcheggi coperti e solos autoveicoli (per posto macchina)</t>
  </si>
  <si>
    <t>Attrezzature culturali sanitarie e assistenziali</t>
  </si>
  <si>
    <t>Campeggi (per utente)</t>
  </si>
  <si>
    <t>Zone di riferimento per il calcolo della monetizzazione delle aree standards e dei parcheggi</t>
  </si>
  <si>
    <t>Monetizzazione aree standards e dei parcheggi</t>
  </si>
  <si>
    <t>Monetizzazione delle aree standards e dei parcheggi</t>
  </si>
  <si>
    <t>Monetizzazione aree standards e parcheggi</t>
  </si>
  <si>
    <t>Parametri per il calcolo della monetizzazione per dotazioni territoriali e parcheggi</t>
  </si>
  <si>
    <t>Parametri per il calcolo della monetizzazione  delle aree a standards e parcheggi</t>
  </si>
  <si>
    <t>Zona A</t>
  </si>
  <si>
    <t>Altre Zone</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</si>
</sst>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7" formatCode="&quot;€&quot;\ #,##0.00;\-&quot;€&quot;\ #,##0.00"/>
    <numFmt numFmtId="8" formatCode="&quot;€&quot;\ #,##0.00;[Red]\-&quot;€&quot;\ #,##0.00"/>
    <numFmt numFmtId="43" formatCode="_-* #,##0.00_-;\-* #,##0.00_-;_-* &quot;-&quot;??_-;_-@_-"/>
    <numFmt numFmtId="164" formatCode="[$€-2]\ #,##0.00;\-[$€-2]\ #,##0.00"/>
    <numFmt numFmtId="165" formatCode="[$€-2]\ #,##0.00"/>
    <numFmt numFmtId="166" formatCode="0.0"/>
    <numFmt numFmtId="167" formatCode="&quot;€&quot;\ #,##0.00"/>
    <numFmt numFmtId="168" formatCode="0.000"/>
    <numFmt numFmtId="169" formatCode="0\ \ %"/>
    <numFmt numFmtId="170" formatCode="#,##0\ &quot;m³&quot;"/>
    <numFmt numFmtId="171" formatCode="#,##0\ &quot;m²&quot;"/>
    <numFmt numFmtId="172" formatCode="0.0\ &quot;%&quot;"/>
    <numFmt numFmtId="173" formatCode="#,##0.00\ &quot;€/m³&quot;;\-#,##0.00\ &quot;€/m³&quot;"/>
    <numFmt numFmtId="174" formatCode="#,##0.00\ &quot;€/m²&quot;;\-#,##0.00\ &quot;€/m²&quot;"/>
    <numFmt numFmtId="175" formatCode="#,##0.0\ &quot;m³&quot;"/>
    <numFmt numFmtId="176" formatCode="#,##0.00\ &quot;m³&quot;"/>
    <numFmt numFmtId="177" formatCode="#,##0.00\ &quot;m²&quot;"/>
    <numFmt numFmtId="178" formatCode="0.00\ &quot;m³&quot;"/>
    <numFmt numFmtId="179" formatCode="0.00\ &quot;m²&quot;"/>
    <numFmt numFmtId="180" formatCode="&quot;€&quot;\ #,##0.00;[Red]&quot;€&quot;\ #,##0.00"/>
    <numFmt numFmtId="181" formatCode="0.0%"/>
  </numFmts>
  <fonts count="97" x14ac:knownFonts="1">
    <font>
      <sz val="10"/>
      <name val="Arial"/>
    </font>
    <font>
      <sz val="11"/>
      <color indexed="8"/>
      <name val="Calibri"/>
      <family val="2"/>
    </font>
    <font>
      <sz val="11"/>
      <color indexed="8"/>
      <name val="Calibri"/>
      <family val="2"/>
    </font>
    <font>
      <sz val="10"/>
      <name val="Arial"/>
      <family val="2"/>
    </font>
    <font>
      <sz val="8"/>
      <name val="Arial"/>
      <family val="2"/>
    </font>
    <font>
      <b/>
      <sz val="10"/>
      <name val="Arial"/>
      <family val="2"/>
    </font>
    <font>
      <sz val="10"/>
      <name val="Arial Narrow"/>
      <family val="2"/>
    </font>
    <font>
      <sz val="8"/>
      <name val="Arial"/>
      <family val="2"/>
    </font>
    <font>
      <sz val="10"/>
      <name val="Arial"/>
      <family val="2"/>
    </font>
    <font>
      <sz val="8"/>
      <name val="Arial Narrow"/>
      <family val="2"/>
    </font>
    <font>
      <sz val="7"/>
      <name val="Arial"/>
      <family val="2"/>
    </font>
    <font>
      <sz val="14"/>
      <name val="Arial Narrow"/>
      <family val="2"/>
    </font>
    <font>
      <u/>
      <sz val="10"/>
      <name val="Arial"/>
      <family val="2"/>
    </font>
    <font>
      <sz val="12"/>
      <name val="Arial Narrow"/>
      <family val="2"/>
    </font>
    <font>
      <sz val="10"/>
      <color indexed="8"/>
      <name val="Arial"/>
      <family val="2"/>
    </font>
    <font>
      <sz val="10"/>
      <color indexed="10"/>
      <name val="Symbol"/>
      <family val="1"/>
      <charset val="2"/>
    </font>
    <font>
      <sz val="10"/>
      <color indexed="8"/>
      <name val="Arial"/>
      <family val="2"/>
    </font>
    <font>
      <sz val="10"/>
      <color indexed="12"/>
      <name val="Arial"/>
      <family val="2"/>
    </font>
    <font>
      <sz val="10"/>
      <name val="Tahoma"/>
      <family val="2"/>
    </font>
    <font>
      <sz val="8"/>
      <color indexed="81"/>
      <name val="Tahoma"/>
      <family val="2"/>
    </font>
    <font>
      <b/>
      <sz val="12"/>
      <name val="Arial"/>
      <family val="2"/>
    </font>
    <font>
      <b/>
      <sz val="8"/>
      <name val="Arial"/>
      <family val="2"/>
    </font>
    <font>
      <sz val="10"/>
      <name val="Helv"/>
    </font>
    <font>
      <sz val="8"/>
      <name val="Helv"/>
    </font>
    <font>
      <i/>
      <sz val="8"/>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sz val="9"/>
      <name val="Arial"/>
      <family val="2"/>
    </font>
    <font>
      <sz val="9"/>
      <color indexed="12"/>
      <name val="Arial"/>
      <family val="2"/>
    </font>
    <font>
      <b/>
      <sz val="9"/>
      <name val="Arial"/>
      <family val="2"/>
    </font>
    <font>
      <u/>
      <sz val="9"/>
      <name val="Arial"/>
      <family val="2"/>
    </font>
    <font>
      <sz val="9"/>
      <name val="Arial"/>
      <family val="2"/>
    </font>
    <font>
      <b/>
      <sz val="12"/>
      <color indexed="12"/>
      <name val="Arial"/>
      <family val="2"/>
    </font>
    <font>
      <sz val="11"/>
      <color indexed="10"/>
      <name val="Symbol"/>
      <family val="1"/>
      <charset val="2"/>
    </font>
    <font>
      <sz val="9"/>
      <name val="Wingdings"/>
      <charset val="2"/>
    </font>
    <font>
      <sz val="8"/>
      <name val="Arial"/>
      <family val="2"/>
    </font>
    <font>
      <b/>
      <sz val="10"/>
      <color indexed="12"/>
      <name val="Arial"/>
      <family val="2"/>
    </font>
    <font>
      <sz val="9"/>
      <color indexed="81"/>
      <name val="Tahoma"/>
      <family val="2"/>
    </font>
    <font>
      <b/>
      <sz val="9"/>
      <color indexed="81"/>
      <name val="Tahoma"/>
      <family val="2"/>
    </font>
    <font>
      <sz val="10"/>
      <name val="Arial"/>
      <family val="2"/>
    </font>
    <font>
      <i/>
      <sz val="10"/>
      <name val="Arial"/>
      <family val="2"/>
    </font>
    <font>
      <i/>
      <sz val="10"/>
      <name val="Helv"/>
    </font>
    <font>
      <b/>
      <i/>
      <sz val="10"/>
      <name val="Arial"/>
      <family val="2"/>
    </font>
    <font>
      <b/>
      <sz val="10"/>
      <name val="Times New Roman"/>
      <family val="1"/>
    </font>
    <font>
      <sz val="10"/>
      <name val="Wingdings"/>
      <charset val="2"/>
    </font>
    <font>
      <sz val="12"/>
      <name val="Arial"/>
      <family val="2"/>
    </font>
    <font>
      <b/>
      <u/>
      <sz val="10"/>
      <name val="Arial"/>
      <family val="2"/>
    </font>
    <font>
      <sz val="12"/>
      <name val="Helv"/>
    </font>
    <font>
      <sz val="12"/>
      <name val="Wingdings"/>
      <charset val="2"/>
    </font>
    <font>
      <sz val="14"/>
      <name val="Wingdings"/>
      <charset val="2"/>
    </font>
    <font>
      <sz val="16"/>
      <name val="Wingdings"/>
      <charset val="2"/>
    </font>
    <font>
      <sz val="8"/>
      <color indexed="23"/>
      <name val="Arial"/>
      <family val="2"/>
    </font>
    <font>
      <u/>
      <sz val="10"/>
      <color theme="10"/>
      <name val="Arial"/>
      <family val="2"/>
    </font>
    <font>
      <sz val="10"/>
      <color theme="3" tint="0.39997558519241921"/>
      <name val="Arial"/>
      <family val="2"/>
    </font>
    <font>
      <b/>
      <sz val="12"/>
      <color theme="3" tint="0.39997558519241921"/>
      <name val="Arial"/>
      <family val="2"/>
    </font>
    <font>
      <b/>
      <sz val="10"/>
      <color theme="0" tint="-0.499984740745262"/>
      <name val="Arial"/>
      <family val="2"/>
    </font>
    <font>
      <sz val="10"/>
      <color theme="0" tint="-0.34998626667073579"/>
      <name val="Arial"/>
      <family val="2"/>
    </font>
    <font>
      <b/>
      <sz val="10"/>
      <color theme="3" tint="0.39997558519241921"/>
      <name val="Arial"/>
      <family val="2"/>
    </font>
    <font>
      <sz val="8"/>
      <color theme="3" tint="0.39997558519241921"/>
      <name val="Arial"/>
      <family val="2"/>
    </font>
    <font>
      <sz val="8"/>
      <color theme="0" tint="-0.34998626667073579"/>
      <name val="Arial"/>
      <family val="2"/>
    </font>
    <font>
      <i/>
      <sz val="10"/>
      <color theme="0" tint="-0.499984740745262"/>
      <name val="Arial"/>
      <family val="2"/>
    </font>
    <font>
      <sz val="10"/>
      <color theme="0"/>
      <name val="Arial"/>
      <family val="2"/>
    </font>
    <font>
      <sz val="10"/>
      <color theme="1"/>
      <name val="Arial"/>
      <family val="2"/>
    </font>
    <font>
      <sz val="12"/>
      <color rgb="FF538DD5"/>
      <name val="Arial Narrow"/>
      <family val="2"/>
    </font>
    <font>
      <sz val="9"/>
      <color rgb="FF538DD5"/>
      <name val="Arial"/>
      <family val="2"/>
    </font>
    <font>
      <b/>
      <sz val="10"/>
      <color rgb="FF538DD5"/>
      <name val="Arial"/>
      <family val="2"/>
    </font>
    <font>
      <b/>
      <sz val="12"/>
      <color rgb="FF538DD5"/>
      <name val="Arial"/>
      <family val="2"/>
    </font>
    <font>
      <b/>
      <sz val="9"/>
      <color rgb="FF538DD5"/>
      <name val="Arial"/>
      <family val="2"/>
    </font>
    <font>
      <sz val="10"/>
      <color rgb="FF808080"/>
      <name val="Arial"/>
      <family val="2"/>
    </font>
    <font>
      <b/>
      <sz val="10"/>
      <color rgb="FF808080"/>
      <name val="Arial"/>
      <family val="2"/>
    </font>
    <font>
      <sz val="10"/>
      <color rgb="FF808080"/>
      <name val="Helv"/>
    </font>
    <font>
      <sz val="10"/>
      <color rgb="FF538DD5"/>
      <name val="Arial"/>
      <family val="2"/>
    </font>
    <font>
      <sz val="10"/>
      <color theme="0" tint="-0.14999847407452621"/>
      <name val="Arial"/>
      <family val="2"/>
    </font>
    <font>
      <sz val="10"/>
      <color theme="0" tint="-0.249977111117893"/>
      <name val="Arial"/>
      <family val="2"/>
    </font>
    <font>
      <sz val="8"/>
      <color theme="0" tint="-0.499984740745262"/>
      <name val="Arial"/>
      <family val="2"/>
    </font>
    <font>
      <sz val="10"/>
      <color rgb="FFFF0000"/>
      <name val="Arial"/>
      <family val="2"/>
    </font>
    <font>
      <b/>
      <sz val="11"/>
      <color theme="3" tint="0.39997558519241921"/>
      <name val="Arial"/>
      <family val="2"/>
    </font>
    <font>
      <i/>
      <sz val="10"/>
      <color rgb="FF538DD5"/>
      <name val="Helv"/>
    </font>
    <font>
      <b/>
      <u/>
      <sz val="10"/>
      <color rgb="FF808080"/>
      <name val="Arial"/>
      <family val="2"/>
    </font>
    <font>
      <u/>
      <sz val="10"/>
      <color rgb="FF538DD5"/>
      <name val="Arial"/>
      <family val="2"/>
    </font>
    <font>
      <b/>
      <sz val="12"/>
      <color theme="4"/>
      <name val="Arial"/>
      <family val="2"/>
    </font>
    <font>
      <b/>
      <i/>
      <sz val="10"/>
      <color rgb="FF538DD5"/>
      <name val="Helv"/>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E4E4E4"/>
        <bgColor indexed="64"/>
      </patternFill>
    </fill>
    <fill>
      <patternFill patternType="solid">
        <fgColor rgb="FFD9D9D9"/>
        <bgColor indexed="64"/>
      </patternFill>
    </fill>
    <fill>
      <patternFill patternType="solid">
        <fgColor rgb="FFEAEAEA"/>
        <bgColor indexed="64"/>
      </patternFill>
    </fill>
    <fill>
      <patternFill patternType="solid">
        <fgColor rgb="FFFFFF9B"/>
        <bgColor indexed="64"/>
      </patternFill>
    </fill>
    <fill>
      <patternFill patternType="solid">
        <fgColor theme="0" tint="-0.249977111117893"/>
        <bgColor indexed="64"/>
      </patternFill>
    </fill>
  </fills>
  <borders count="8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top style="thin">
        <color indexed="64"/>
      </top>
      <bottom style="medium">
        <color indexed="64"/>
      </bottom>
      <diagonal/>
    </border>
    <border>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ck">
        <color rgb="FFFF0000"/>
      </top>
      <bottom/>
      <diagonal/>
    </border>
    <border>
      <left/>
      <right style="thick">
        <color rgb="FFFF0000"/>
      </right>
      <top style="thick">
        <color rgb="FFFF0000"/>
      </top>
      <bottom/>
      <diagonal/>
    </border>
    <border>
      <left/>
      <right style="thick">
        <color rgb="FFFF0000"/>
      </right>
      <top/>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style="thin">
        <color indexed="64"/>
      </left>
      <right/>
      <top/>
      <bottom style="medium">
        <color indexed="64"/>
      </bottom>
      <diagonal/>
    </border>
  </borders>
  <cellStyleXfs count="90">
    <xf numFmtId="0" fontId="0" fillId="0" borderId="0"/>
    <xf numFmtId="0" fontId="25"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5"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5"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25"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5"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25"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5"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5"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5"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5"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5"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5"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7" fillId="16" borderId="1" applyNumberFormat="0" applyAlignment="0" applyProtection="0"/>
    <xf numFmtId="0" fontId="28" fillId="0" borderId="2" applyNumberFormat="0" applyFill="0" applyAlignment="0" applyProtection="0"/>
    <xf numFmtId="0" fontId="29" fillId="17" borderId="3" applyNumberFormat="0" applyAlignment="0" applyProtection="0"/>
    <xf numFmtId="0" fontId="67" fillId="0" borderId="0" applyNumberFormat="0" applyFill="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21" borderId="0" applyNumberFormat="0" applyBorder="0" applyAlignment="0" applyProtection="0"/>
    <xf numFmtId="0" fontId="30" fillId="7" borderId="1" applyNumberFormat="0" applyAlignment="0" applyProtection="0"/>
    <xf numFmtId="0" fontId="5" fillId="22" borderId="0">
      <alignment horizontal="center" vertical="center" wrapText="1"/>
    </xf>
    <xf numFmtId="0" fontId="5" fillId="23" borderId="4" applyNumberFormat="0" applyFill="0" applyProtection="0">
      <alignment vertical="center"/>
    </xf>
    <xf numFmtId="0" fontId="20" fillId="23" borderId="5" applyNumberFormat="0" applyFill="0" applyBorder="0" applyProtection="0">
      <alignment vertical="center"/>
    </xf>
    <xf numFmtId="170" fontId="8" fillId="24" borderId="6" applyFill="0" applyBorder="0" applyProtection="0">
      <alignment horizontal="right"/>
      <protection locked="0"/>
    </xf>
    <xf numFmtId="170" fontId="3" fillId="24" borderId="6" applyFill="0" applyBorder="0" applyProtection="0">
      <alignment horizontal="right"/>
      <protection locked="0"/>
    </xf>
    <xf numFmtId="171" fontId="8" fillId="24" borderId="6" applyFill="0" applyBorder="0" applyProtection="0">
      <alignment horizontal="right"/>
      <protection locked="0"/>
    </xf>
    <xf numFmtId="171" fontId="3" fillId="24" borderId="6" applyFill="0" applyBorder="0" applyProtection="0">
      <alignment horizontal="right"/>
      <protection locked="0"/>
    </xf>
    <xf numFmtId="43" fontId="3" fillId="0" borderId="0" applyFont="0" applyFill="0" applyBorder="0" applyAlignment="0" applyProtection="0"/>
    <xf numFmtId="0" fontId="31" fillId="25" borderId="0" applyNumberFormat="0" applyBorder="0" applyAlignment="0" applyProtection="0"/>
    <xf numFmtId="0" fontId="3" fillId="0" borderId="0"/>
    <xf numFmtId="166" fontId="22" fillId="0" borderId="0"/>
    <xf numFmtId="0" fontId="3" fillId="26" borderId="7" applyNumberFormat="0" applyFont="0" applyAlignment="0" applyProtection="0"/>
    <xf numFmtId="0" fontId="32" fillId="16" borderId="8" applyNumberFormat="0" applyAlignment="0" applyProtection="0"/>
    <xf numFmtId="172" fontId="3"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10" applyNumberFormat="0" applyFill="0" applyAlignment="0" applyProtection="0"/>
    <xf numFmtId="0" fontId="38" fillId="0" borderId="11" applyNumberFormat="0" applyFill="0" applyAlignment="0" applyProtection="0"/>
    <xf numFmtId="0" fontId="38" fillId="0" borderId="0" applyNumberFormat="0" applyFill="0" applyBorder="0" applyAlignment="0" applyProtection="0"/>
    <xf numFmtId="0" fontId="39" fillId="0" borderId="12" applyNumberFormat="0" applyFill="0" applyAlignment="0" applyProtection="0"/>
    <xf numFmtId="0" fontId="40" fillId="3" borderId="0" applyNumberFormat="0" applyBorder="0" applyAlignment="0" applyProtection="0"/>
    <xf numFmtId="0" fontId="41" fillId="4" borderId="0" applyNumberFormat="0" applyBorder="0" applyAlignment="0" applyProtection="0"/>
  </cellStyleXfs>
  <cellXfs count="1161">
    <xf numFmtId="0" fontId="0" fillId="0" borderId="0" xfId="0"/>
    <xf numFmtId="0" fontId="0" fillId="0" borderId="0" xfId="0" applyFill="1"/>
    <xf numFmtId="0" fontId="0" fillId="0" borderId="0" xfId="0" applyFill="1" applyProtection="1"/>
    <xf numFmtId="167" fontId="8" fillId="0" borderId="0" xfId="0" applyNumberFormat="1" applyFont="1" applyFill="1" applyBorder="1" applyAlignment="1" applyProtection="1">
      <alignment horizontal="center"/>
    </xf>
    <xf numFmtId="0" fontId="0" fillId="0" borderId="0" xfId="0" applyAlignment="1" applyProtection="1">
      <alignment horizontal="center" vertical="center" wrapText="1"/>
    </xf>
    <xf numFmtId="0" fontId="42" fillId="27" borderId="0" xfId="0" applyFont="1" applyFill="1" applyBorder="1" applyAlignment="1" applyProtection="1">
      <alignment vertical="center"/>
    </xf>
    <xf numFmtId="164" fontId="51" fillId="27" borderId="6" xfId="0" applyNumberFormat="1" applyFont="1" applyFill="1" applyBorder="1" applyAlignment="1" applyProtection="1">
      <alignment vertical="center"/>
    </xf>
    <xf numFmtId="0" fontId="0" fillId="27" borderId="0" xfId="0" applyFill="1" applyProtection="1"/>
    <xf numFmtId="0" fontId="0" fillId="27" borderId="0" xfId="0" applyFill="1"/>
    <xf numFmtId="0" fontId="68" fillId="27" borderId="0" xfId="0" applyFont="1" applyFill="1" applyProtection="1"/>
    <xf numFmtId="0" fontId="11" fillId="27" borderId="0" xfId="0" applyFont="1" applyFill="1" applyProtection="1"/>
    <xf numFmtId="0" fontId="13" fillId="27" borderId="0" xfId="0" applyFont="1" applyFill="1" applyProtection="1"/>
    <xf numFmtId="0" fontId="0" fillId="27" borderId="0" xfId="0" applyFill="1" applyAlignment="1" applyProtection="1">
      <alignment vertical="center"/>
    </xf>
    <xf numFmtId="0" fontId="42" fillId="27" borderId="4" xfId="0" applyNumberFormat="1" applyFont="1" applyFill="1" applyBorder="1" applyAlignment="1" applyProtection="1">
      <alignment horizontal="center" vertical="center"/>
    </xf>
    <xf numFmtId="0" fontId="16" fillId="27" borderId="13" xfId="0" applyFont="1" applyFill="1" applyBorder="1" applyAlignment="1" applyProtection="1">
      <alignment vertical="center"/>
    </xf>
    <xf numFmtId="0" fontId="11" fillId="0" borderId="0" xfId="0" applyFont="1" applyFill="1" applyProtection="1"/>
    <xf numFmtId="0" fontId="13" fillId="0" borderId="0" xfId="0" applyFont="1" applyFill="1" applyProtection="1"/>
    <xf numFmtId="0" fontId="0" fillId="0" borderId="0" xfId="0" applyFill="1" applyAlignment="1" applyProtection="1">
      <alignment vertical="center"/>
    </xf>
    <xf numFmtId="0" fontId="48" fillId="0" borderId="0" xfId="0" applyFont="1" applyFill="1" applyAlignment="1" applyProtection="1">
      <alignment horizontal="right" vertical="center"/>
      <protection hidden="1"/>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0" fillId="0" borderId="0" xfId="0" applyFill="1" applyBorder="1" applyAlignment="1" applyProtection="1">
      <alignment vertical="center"/>
    </xf>
    <xf numFmtId="0" fontId="42" fillId="0" borderId="0" xfId="0" applyFont="1" applyFill="1" applyBorder="1" applyAlignment="1" applyProtection="1">
      <alignment vertical="center"/>
    </xf>
    <xf numFmtId="0" fontId="44" fillId="0" borderId="0" xfId="0" applyFont="1" applyFill="1" applyBorder="1" applyAlignment="1" applyProtection="1">
      <alignment horizontal="right" vertical="center"/>
    </xf>
    <xf numFmtId="164" fontId="42" fillId="0" borderId="0" xfId="0" applyNumberFormat="1" applyFont="1" applyFill="1" applyBorder="1" applyAlignment="1" applyProtection="1">
      <alignment vertical="center"/>
    </xf>
    <xf numFmtId="0" fontId="42" fillId="0" borderId="0" xfId="0" quotePrefix="1" applyFont="1" applyFill="1" applyBorder="1" applyAlignment="1" applyProtection="1">
      <alignment horizontal="center" vertical="center"/>
    </xf>
    <xf numFmtId="0" fontId="0" fillId="0" borderId="0" xfId="0" applyFill="1" applyBorder="1" applyProtection="1"/>
    <xf numFmtId="0" fontId="0" fillId="0" borderId="0" xfId="0" applyFill="1" applyAlignment="1" applyProtection="1">
      <alignment horizontal="right"/>
    </xf>
    <xf numFmtId="0" fontId="13" fillId="0" borderId="0" xfId="0" applyFont="1" applyFill="1" applyBorder="1" applyAlignment="1" applyProtection="1">
      <alignment vertical="center"/>
    </xf>
    <xf numFmtId="0" fontId="45" fillId="0" borderId="0" xfId="0" applyFont="1" applyFill="1" applyBorder="1" applyAlignment="1" applyProtection="1">
      <alignment horizontal="center" vertical="center"/>
    </xf>
    <xf numFmtId="0" fontId="0" fillId="0" borderId="0" xfId="0" applyNumberFormat="1" applyFill="1" applyBorder="1" applyAlignment="1" applyProtection="1">
      <alignment horizontal="center" vertical="center" wrapText="1"/>
    </xf>
    <xf numFmtId="43" fontId="54" fillId="0" borderId="0" xfId="73" applyFont="1" applyFill="1" applyBorder="1" applyAlignment="1" applyProtection="1">
      <alignment horizontal="center" vertical="center" wrapText="1"/>
    </xf>
    <xf numFmtId="0" fontId="11" fillId="0" borderId="0" xfId="0" applyFont="1" applyFill="1" applyBorder="1" applyAlignment="1" applyProtection="1">
      <alignment vertical="center"/>
    </xf>
    <xf numFmtId="0" fontId="4" fillId="0" borderId="0" xfId="0" applyFont="1" applyFill="1" applyBorder="1" applyProtection="1"/>
    <xf numFmtId="0" fontId="9" fillId="0" borderId="0" xfId="0" applyFont="1" applyFill="1" applyBorder="1" applyProtection="1"/>
    <xf numFmtId="0" fontId="68" fillId="0" borderId="0" xfId="0" applyFont="1" applyFill="1" applyBorder="1" applyProtection="1"/>
    <xf numFmtId="0" fontId="6" fillId="0" borderId="0" xfId="0" applyFont="1" applyFill="1" applyBorder="1" applyProtection="1"/>
    <xf numFmtId="0" fontId="69" fillId="0" borderId="0" xfId="68" applyFont="1" applyFill="1" applyBorder="1" applyAlignment="1" applyProtection="1">
      <alignment horizontal="left" vertical="center"/>
    </xf>
    <xf numFmtId="0" fontId="10" fillId="0" borderId="0" xfId="0" applyFont="1" applyFill="1" applyBorder="1" applyProtection="1"/>
    <xf numFmtId="0" fontId="0" fillId="0" borderId="0" xfId="0" applyFill="1" applyBorder="1"/>
    <xf numFmtId="0" fontId="18" fillId="0" borderId="0" xfId="0" applyFont="1" applyFill="1"/>
    <xf numFmtId="0" fontId="70" fillId="0" borderId="0" xfId="0" applyFont="1" applyFill="1"/>
    <xf numFmtId="0" fontId="71" fillId="0" borderId="0" xfId="0" applyFont="1" applyFill="1" applyProtection="1"/>
    <xf numFmtId="0" fontId="71" fillId="0" borderId="0" xfId="0" applyFont="1" applyFill="1"/>
    <xf numFmtId="0" fontId="69" fillId="0" borderId="0" xfId="0" applyFont="1" applyFill="1" applyBorder="1" applyAlignment="1" applyProtection="1">
      <alignment horizontal="left" vertical="center"/>
    </xf>
    <xf numFmtId="0" fontId="42" fillId="27" borderId="0" xfId="0" applyNumberFormat="1" applyFont="1" applyFill="1" applyBorder="1" applyAlignment="1" applyProtection="1">
      <alignment horizontal="center" vertical="center"/>
    </xf>
    <xf numFmtId="164" fontId="51" fillId="27" borderId="0" xfId="0" applyNumberFormat="1" applyFont="1" applyFill="1" applyBorder="1" applyAlignment="1" applyProtection="1">
      <alignment vertical="center"/>
    </xf>
    <xf numFmtId="0" fontId="16" fillId="27" borderId="0" xfId="0" applyFont="1" applyFill="1" applyBorder="1" applyAlignment="1" applyProtection="1">
      <alignment vertical="center"/>
    </xf>
    <xf numFmtId="0" fontId="3" fillId="0" borderId="0" xfId="0" applyFont="1" applyAlignment="1" applyProtection="1">
      <alignment horizontal="center" vertical="center" wrapText="1"/>
    </xf>
    <xf numFmtId="0" fontId="0" fillId="28" borderId="0" xfId="0" applyFill="1" applyProtection="1"/>
    <xf numFmtId="0" fontId="0" fillId="28" borderId="0" xfId="0" applyFill="1" applyBorder="1" applyProtection="1"/>
    <xf numFmtId="0" fontId="5" fillId="0" borderId="0" xfId="0" applyFont="1" applyFill="1" applyBorder="1" applyAlignment="1" applyProtection="1">
      <alignment horizontal="center"/>
    </xf>
    <xf numFmtId="167" fontId="0" fillId="0" borderId="0" xfId="0" applyNumberFormat="1" applyFill="1" applyBorder="1" applyProtection="1"/>
    <xf numFmtId="172" fontId="3" fillId="0" borderId="0" xfId="79" applyFont="1" applyFill="1" applyBorder="1" applyProtection="1"/>
    <xf numFmtId="0" fontId="0" fillId="0" borderId="0" xfId="0" applyBorder="1"/>
    <xf numFmtId="14" fontId="0" fillId="0" borderId="0" xfId="0" applyNumberFormat="1"/>
    <xf numFmtId="0" fontId="0" fillId="0" borderId="13" xfId="0" applyFill="1" applyBorder="1" applyProtection="1"/>
    <xf numFmtId="0" fontId="44" fillId="0" borderId="4" xfId="67" applyFont="1" applyFill="1" applyBorder="1" applyAlignment="1" applyProtection="1">
      <alignment vertical="center"/>
    </xf>
    <xf numFmtId="0" fontId="44" fillId="0" borderId="0" xfId="67" applyFont="1" applyFill="1" applyBorder="1" applyAlignment="1" applyProtection="1">
      <alignment vertical="center"/>
    </xf>
    <xf numFmtId="0" fontId="3" fillId="0" borderId="13" xfId="0" applyNumberFormat="1" applyFont="1" applyFill="1" applyBorder="1" applyProtection="1"/>
    <xf numFmtId="0" fontId="5" fillId="0" borderId="14" xfId="67" applyFill="1" applyBorder="1" applyProtection="1">
      <alignment vertical="center"/>
    </xf>
    <xf numFmtId="0" fontId="5" fillId="0" borderId="0" xfId="67" applyFill="1" applyBorder="1" applyProtection="1">
      <alignment vertical="center"/>
    </xf>
    <xf numFmtId="164" fontId="70" fillId="0" borderId="0" xfId="0" applyNumberFormat="1" applyFont="1" applyFill="1" applyBorder="1" applyAlignment="1" applyProtection="1">
      <alignment vertical="center"/>
    </xf>
    <xf numFmtId="164" fontId="72" fillId="0" borderId="0" xfId="0" applyNumberFormat="1" applyFont="1" applyFill="1" applyBorder="1" applyAlignment="1" applyProtection="1">
      <alignment vertical="center"/>
    </xf>
    <xf numFmtId="0" fontId="3" fillId="0" borderId="15" xfId="67" applyFont="1" applyFill="1" applyBorder="1" applyProtection="1">
      <alignment vertical="center"/>
    </xf>
    <xf numFmtId="0" fontId="3" fillId="0" borderId="13" xfId="0" applyFont="1" applyFill="1" applyBorder="1" applyProtection="1"/>
    <xf numFmtId="0" fontId="44" fillId="0" borderId="16" xfId="67" applyFont="1" applyFill="1" applyBorder="1" applyAlignment="1" applyProtection="1">
      <alignment vertical="center"/>
    </xf>
    <xf numFmtId="0" fontId="3" fillId="0" borderId="14" xfId="67" applyFont="1" applyFill="1" applyBorder="1" applyProtection="1">
      <alignment vertical="center"/>
    </xf>
    <xf numFmtId="0" fontId="9" fillId="0" borderId="17" xfId="0" applyFont="1" applyFill="1" applyBorder="1" applyProtection="1"/>
    <xf numFmtId="0" fontId="9" fillId="0" borderId="18" xfId="0" applyFont="1" applyFill="1" applyBorder="1" applyProtection="1"/>
    <xf numFmtId="0" fontId="0" fillId="0" borderId="19" xfId="0" applyFill="1" applyBorder="1" applyProtection="1"/>
    <xf numFmtId="0" fontId="69" fillId="0" borderId="20" xfId="68" applyFont="1" applyFill="1" applyBorder="1" applyProtection="1">
      <alignment vertical="center"/>
    </xf>
    <xf numFmtId="0" fontId="4" fillId="0" borderId="18" xfId="0" applyFont="1" applyFill="1" applyBorder="1" applyProtection="1"/>
    <xf numFmtId="0" fontId="73" fillId="0" borderId="18" xfId="0" applyFont="1" applyFill="1" applyBorder="1" applyProtection="1"/>
    <xf numFmtId="0" fontId="4" fillId="0" borderId="19" xfId="0" applyFont="1" applyFill="1" applyBorder="1" applyProtection="1"/>
    <xf numFmtId="0" fontId="10" fillId="0" borderId="17" xfId="0" applyFont="1" applyFill="1" applyBorder="1" applyProtection="1"/>
    <xf numFmtId="0" fontId="10" fillId="0" borderId="18" xfId="0" applyFont="1" applyFill="1" applyBorder="1" applyProtection="1"/>
    <xf numFmtId="164" fontId="72" fillId="29" borderId="21" xfId="0" applyNumberFormat="1" applyFont="1" applyFill="1" applyBorder="1" applyAlignment="1" applyProtection="1">
      <alignment vertical="center"/>
    </xf>
    <xf numFmtId="164" fontId="55" fillId="29" borderId="22" xfId="0" applyNumberFormat="1" applyFont="1" applyFill="1" applyBorder="1" applyAlignment="1" applyProtection="1">
      <alignment horizontal="left" vertical="center"/>
    </xf>
    <xf numFmtId="164" fontId="3" fillId="29" borderId="21" xfId="0" applyNumberFormat="1" applyFont="1" applyFill="1" applyBorder="1" applyAlignment="1" applyProtection="1">
      <alignment vertical="center"/>
    </xf>
    <xf numFmtId="164" fontId="3" fillId="29" borderId="23" xfId="0" applyNumberFormat="1" applyFont="1" applyFill="1" applyBorder="1" applyAlignment="1" applyProtection="1">
      <alignment vertical="center"/>
    </xf>
    <xf numFmtId="0" fontId="5" fillId="0" borderId="14" xfId="67" applyFont="1" applyFill="1" applyBorder="1" applyAlignment="1" applyProtection="1">
      <alignment vertical="center"/>
    </xf>
    <xf numFmtId="164" fontId="72" fillId="0" borderId="0" xfId="0" applyNumberFormat="1" applyFont="1" applyFill="1" applyBorder="1" applyAlignment="1" applyProtection="1">
      <alignment horizontal="right" vertical="center"/>
    </xf>
    <xf numFmtId="164" fontId="55" fillId="29" borderId="24" xfId="0" applyNumberFormat="1" applyFont="1" applyFill="1" applyBorder="1" applyAlignment="1" applyProtection="1">
      <alignment horizontal="left" vertical="center"/>
    </xf>
    <xf numFmtId="164" fontId="55" fillId="0" borderId="16" xfId="0" applyNumberFormat="1" applyFont="1" applyFill="1" applyBorder="1" applyAlignment="1" applyProtection="1">
      <alignment horizontal="left" vertical="center"/>
    </xf>
    <xf numFmtId="164" fontId="3" fillId="29" borderId="25" xfId="0" applyNumberFormat="1" applyFont="1" applyFill="1" applyBorder="1" applyAlignment="1" applyProtection="1">
      <alignment vertical="center"/>
    </xf>
    <xf numFmtId="0" fontId="3" fillId="0" borderId="26" xfId="67" applyFont="1" applyFill="1" applyBorder="1" applyProtection="1">
      <alignment vertical="center"/>
    </xf>
    <xf numFmtId="0" fontId="72" fillId="29" borderId="22" xfId="0" applyFont="1" applyFill="1" applyBorder="1" applyAlignment="1" applyProtection="1">
      <alignment horizontal="center" vertical="center"/>
    </xf>
    <xf numFmtId="0" fontId="0" fillId="0" borderId="18" xfId="0" applyFill="1" applyBorder="1" applyProtection="1"/>
    <xf numFmtId="0" fontId="0" fillId="0" borderId="14" xfId="0" applyFill="1" applyBorder="1"/>
    <xf numFmtId="0" fontId="0" fillId="0" borderId="27" xfId="0" applyFill="1" applyBorder="1" applyProtection="1"/>
    <xf numFmtId="164" fontId="69" fillId="0" borderId="0" xfId="0" applyNumberFormat="1" applyFont="1" applyFill="1" applyBorder="1" applyAlignment="1" applyProtection="1">
      <alignment horizontal="right" vertical="center"/>
    </xf>
    <xf numFmtId="164" fontId="55" fillId="29" borderId="28" xfId="0" applyNumberFormat="1" applyFont="1" applyFill="1" applyBorder="1" applyAlignment="1" applyProtection="1">
      <alignment horizontal="left" vertical="center"/>
    </xf>
    <xf numFmtId="164" fontId="69" fillId="29" borderId="29" xfId="0" applyNumberFormat="1" applyFont="1" applyFill="1" applyBorder="1" applyAlignment="1" applyProtection="1">
      <alignment vertical="center"/>
    </xf>
    <xf numFmtId="164" fontId="69" fillId="29" borderId="21" xfId="0" applyNumberFormat="1" applyFont="1" applyFill="1" applyBorder="1" applyAlignment="1" applyProtection="1">
      <alignment vertical="center"/>
    </xf>
    <xf numFmtId="0" fontId="0" fillId="0" borderId="5" xfId="0" applyFill="1" applyBorder="1" applyProtection="1"/>
    <xf numFmtId="0" fontId="5" fillId="0" borderId="18" xfId="67" applyFill="1" applyBorder="1" applyProtection="1">
      <alignment vertical="center"/>
    </xf>
    <xf numFmtId="0" fontId="0" fillId="0" borderId="30" xfId="0" applyFill="1" applyBorder="1" applyProtection="1"/>
    <xf numFmtId="0" fontId="68" fillId="0" borderId="27" xfId="0" applyFont="1" applyFill="1" applyBorder="1" applyProtection="1"/>
    <xf numFmtId="2" fontId="3" fillId="29" borderId="21" xfId="0" applyNumberFormat="1" applyFont="1" applyFill="1" applyBorder="1" applyAlignment="1" applyProtection="1">
      <alignment vertical="center"/>
    </xf>
    <xf numFmtId="0" fontId="3" fillId="29" borderId="21" xfId="0" applyFont="1" applyFill="1" applyBorder="1" applyAlignment="1" applyProtection="1">
      <alignment horizontal="right" vertical="center"/>
    </xf>
    <xf numFmtId="172" fontId="3" fillId="29" borderId="21" xfId="79" applyFont="1" applyFill="1" applyBorder="1" applyAlignment="1" applyProtection="1">
      <alignment vertical="center"/>
    </xf>
    <xf numFmtId="177" fontId="3" fillId="29" borderId="21" xfId="71" applyNumberFormat="1" applyFont="1" applyFill="1" applyBorder="1" applyProtection="1">
      <alignment horizontal="right"/>
    </xf>
    <xf numFmtId="176" fontId="3" fillId="29" borderId="21" xfId="69" applyNumberFormat="1" applyFont="1" applyFill="1" applyBorder="1" applyAlignment="1" applyProtection="1">
      <alignment vertical="center"/>
    </xf>
    <xf numFmtId="1" fontId="3" fillId="29" borderId="21" xfId="71" applyNumberFormat="1" applyFont="1" applyFill="1" applyBorder="1" applyAlignment="1" applyProtection="1">
      <alignment vertical="center"/>
    </xf>
    <xf numFmtId="0" fontId="0" fillId="0" borderId="17" xfId="0" applyFill="1" applyBorder="1" applyProtection="1"/>
    <xf numFmtId="0" fontId="4" fillId="0" borderId="13" xfId="0" applyFont="1" applyFill="1" applyBorder="1" applyProtection="1"/>
    <xf numFmtId="0" fontId="74" fillId="0" borderId="0" xfId="0" applyFont="1" applyFill="1" applyBorder="1" applyAlignment="1" applyProtection="1">
      <alignment vertical="center"/>
    </xf>
    <xf numFmtId="164" fontId="47" fillId="0" borderId="0" xfId="0" applyNumberFormat="1" applyFont="1" applyFill="1" applyBorder="1" applyAlignment="1" applyProtection="1">
      <alignment vertical="center"/>
    </xf>
    <xf numFmtId="164" fontId="68" fillId="29" borderId="21" xfId="0" applyNumberFormat="1" applyFont="1" applyFill="1" applyBorder="1" applyAlignment="1" applyProtection="1">
      <alignment vertical="center"/>
    </xf>
    <xf numFmtId="0" fontId="69" fillId="0" borderId="0" xfId="68" applyFont="1" applyFill="1" applyBorder="1" applyProtection="1">
      <alignment vertical="center"/>
    </xf>
    <xf numFmtId="164" fontId="68" fillId="0" borderId="25" xfId="0" applyNumberFormat="1" applyFont="1" applyFill="1" applyBorder="1" applyAlignment="1" applyProtection="1">
      <alignment horizontal="right" vertical="center"/>
    </xf>
    <xf numFmtId="164" fontId="72" fillId="0" borderId="31" xfId="0" applyNumberFormat="1" applyFont="1" applyFill="1" applyBorder="1" applyAlignment="1" applyProtection="1">
      <alignment vertical="center"/>
    </xf>
    <xf numFmtId="164" fontId="55" fillId="0" borderId="0" xfId="0" applyNumberFormat="1" applyFont="1" applyFill="1" applyBorder="1" applyAlignment="1" applyProtection="1">
      <alignment horizontal="left" vertical="center"/>
    </xf>
    <xf numFmtId="0" fontId="75" fillId="0" borderId="4" xfId="66" applyFont="1" applyFill="1" applyBorder="1" applyProtection="1">
      <alignment horizontal="center" vertical="center" wrapText="1"/>
    </xf>
    <xf numFmtId="0" fontId="75" fillId="0" borderId="0" xfId="66" applyFont="1" applyFill="1" applyBorder="1" applyProtection="1">
      <alignment horizontal="center" vertical="center" wrapText="1"/>
    </xf>
    <xf numFmtId="0" fontId="75" fillId="0" borderId="0" xfId="0" applyFont="1" applyFill="1" applyBorder="1" applyAlignment="1" applyProtection="1">
      <alignment horizontal="center" vertical="center" wrapText="1"/>
    </xf>
    <xf numFmtId="0" fontId="75" fillId="0" borderId="0" xfId="66" applyFont="1" applyFill="1" applyProtection="1">
      <alignment horizontal="center" vertical="center" wrapText="1"/>
    </xf>
    <xf numFmtId="164" fontId="68" fillId="29" borderId="23" xfId="0" applyNumberFormat="1" applyFont="1" applyFill="1" applyBorder="1" applyAlignment="1" applyProtection="1">
      <alignment vertical="center"/>
    </xf>
    <xf numFmtId="0" fontId="0" fillId="27" borderId="0" xfId="0" applyFill="1" applyProtection="1"/>
    <xf numFmtId="0" fontId="68" fillId="0" borderId="0" xfId="0" applyFont="1" applyFill="1" applyBorder="1" applyProtection="1"/>
    <xf numFmtId="0" fontId="76" fillId="28" borderId="0" xfId="0" applyFont="1" applyFill="1" applyProtection="1">
      <protection hidden="1"/>
    </xf>
    <xf numFmtId="0" fontId="13" fillId="0" borderId="14" xfId="0" applyFont="1" applyFill="1" applyBorder="1" applyAlignment="1" applyProtection="1">
      <alignment vertical="center"/>
    </xf>
    <xf numFmtId="0" fontId="13" fillId="0" borderId="0" xfId="0" applyFont="1" applyFill="1" applyBorder="1" applyAlignment="1" applyProtection="1">
      <alignment horizontal="right" vertical="center"/>
    </xf>
    <xf numFmtId="0" fontId="72" fillId="0" borderId="0" xfId="66" applyFont="1" applyFill="1" applyAlignment="1" applyProtection="1">
      <alignment horizontal="center" vertical="center" wrapText="1"/>
    </xf>
    <xf numFmtId="0" fontId="72" fillId="0" borderId="0" xfId="0" applyFont="1" applyFill="1" applyBorder="1" applyAlignment="1" applyProtection="1">
      <alignment horizontal="center" vertical="center"/>
    </xf>
    <xf numFmtId="0" fontId="13" fillId="0" borderId="13" xfId="0" applyFont="1" applyFill="1" applyBorder="1" applyAlignment="1" applyProtection="1">
      <alignment vertical="center"/>
    </xf>
    <xf numFmtId="0" fontId="0" fillId="0" borderId="13" xfId="0" applyFill="1" applyBorder="1" applyAlignment="1" applyProtection="1">
      <alignment vertical="center"/>
    </xf>
    <xf numFmtId="0" fontId="42" fillId="0" borderId="14" xfId="0" applyFont="1" applyFill="1" applyBorder="1" applyAlignment="1" applyProtection="1">
      <alignment vertical="center"/>
    </xf>
    <xf numFmtId="0" fontId="49" fillId="0" borderId="0" xfId="0" applyFont="1" applyFill="1" applyBorder="1" applyAlignment="1" applyProtection="1">
      <alignment horizontal="center" vertical="center"/>
    </xf>
    <xf numFmtId="0" fontId="44" fillId="0" borderId="14" xfId="0" applyFont="1" applyFill="1" applyBorder="1" applyAlignment="1" applyProtection="1">
      <alignment horizontal="right" vertical="center"/>
    </xf>
    <xf numFmtId="0" fontId="42" fillId="0" borderId="0" xfId="0" applyFont="1" applyFill="1" applyBorder="1" applyAlignment="1" applyProtection="1">
      <alignment horizontal="right" vertical="center"/>
    </xf>
    <xf numFmtId="0" fontId="44" fillId="0" borderId="0" xfId="0" applyFont="1" applyFill="1" applyBorder="1" applyAlignment="1" applyProtection="1">
      <alignment horizontal="center" vertical="center"/>
    </xf>
    <xf numFmtId="0" fontId="21" fillId="0" borderId="0" xfId="66" applyFont="1" applyFill="1" applyAlignment="1" applyProtection="1">
      <alignment horizontal="center" vertical="center"/>
    </xf>
    <xf numFmtId="0" fontId="42" fillId="0" borderId="4" xfId="0" applyFont="1" applyFill="1" applyBorder="1" applyAlignment="1" applyProtection="1">
      <alignment vertical="center"/>
    </xf>
    <xf numFmtId="0" fontId="42" fillId="0" borderId="4" xfId="0" applyNumberFormat="1" applyFont="1" applyFill="1" applyBorder="1" applyAlignment="1" applyProtection="1">
      <alignment horizontal="center" vertical="center"/>
    </xf>
    <xf numFmtId="0" fontId="14" fillId="0" borderId="13" xfId="0" applyFont="1" applyFill="1" applyBorder="1" applyAlignment="1" applyProtection="1">
      <alignment vertical="center"/>
    </xf>
    <xf numFmtId="164" fontId="17" fillId="0" borderId="16" xfId="0" applyNumberFormat="1" applyFont="1" applyFill="1" applyBorder="1" applyAlignment="1" applyProtection="1">
      <alignment vertical="center"/>
    </xf>
    <xf numFmtId="0" fontId="42" fillId="0" borderId="16" xfId="0" applyFont="1" applyFill="1" applyBorder="1" applyAlignment="1" applyProtection="1">
      <alignment vertical="center"/>
    </xf>
    <xf numFmtId="0" fontId="42" fillId="0" borderId="16" xfId="0" applyNumberFormat="1" applyFont="1" applyFill="1" applyBorder="1" applyAlignment="1" applyProtection="1">
      <alignment horizontal="center" vertical="center"/>
    </xf>
    <xf numFmtId="164" fontId="17" fillId="0" borderId="4" xfId="0" applyNumberFormat="1" applyFont="1" applyFill="1" applyBorder="1" applyAlignment="1" applyProtection="1">
      <alignment vertical="center"/>
    </xf>
    <xf numFmtId="0" fontId="42" fillId="0" borderId="18" xfId="0" quotePrefix="1" applyFont="1" applyFill="1" applyBorder="1" applyAlignment="1" applyProtection="1">
      <alignment horizontal="center" vertical="center"/>
    </xf>
    <xf numFmtId="0" fontId="42" fillId="0" borderId="18" xfId="0" applyFont="1" applyFill="1" applyBorder="1" applyAlignment="1" applyProtection="1">
      <alignment vertical="center"/>
    </xf>
    <xf numFmtId="164" fontId="17" fillId="0" borderId="0" xfId="0" applyNumberFormat="1" applyFont="1" applyFill="1" applyBorder="1" applyAlignment="1" applyProtection="1">
      <alignment vertical="center"/>
    </xf>
    <xf numFmtId="173" fontId="8" fillId="0" borderId="0" xfId="0" applyNumberFormat="1" applyFont="1" applyFill="1" applyBorder="1" applyAlignment="1" applyProtection="1">
      <alignment vertical="center"/>
    </xf>
    <xf numFmtId="164" fontId="8" fillId="0" borderId="0" xfId="0" applyNumberFormat="1" applyFont="1" applyFill="1" applyBorder="1" applyAlignment="1" applyProtection="1">
      <alignment vertical="center"/>
    </xf>
    <xf numFmtId="0" fontId="4" fillId="0" borderId="4" xfId="67" applyFont="1" applyFill="1" applyBorder="1" applyAlignment="1" applyProtection="1">
      <alignment vertical="center"/>
    </xf>
    <xf numFmtId="0" fontId="42" fillId="0" borderId="5" xfId="0" applyFont="1" applyFill="1" applyBorder="1" applyAlignment="1" applyProtection="1">
      <alignment horizontal="right" vertical="center"/>
    </xf>
    <xf numFmtId="0" fontId="42" fillId="0" borderId="5" xfId="0" applyFont="1" applyFill="1" applyBorder="1" applyAlignment="1" applyProtection="1">
      <alignment vertical="center"/>
    </xf>
    <xf numFmtId="0" fontId="14" fillId="0" borderId="32" xfId="0" applyFont="1" applyFill="1" applyBorder="1" applyAlignment="1" applyProtection="1">
      <alignment vertical="center"/>
    </xf>
    <xf numFmtId="0" fontId="15" fillId="0" borderId="33" xfId="0" applyFont="1" applyFill="1" applyBorder="1" applyAlignment="1" applyProtection="1">
      <alignment horizontal="right" vertical="center"/>
    </xf>
    <xf numFmtId="0" fontId="42" fillId="0" borderId="21" xfId="0" applyFont="1" applyFill="1" applyBorder="1" applyAlignment="1" applyProtection="1">
      <alignment horizontal="right" vertical="center"/>
    </xf>
    <xf numFmtId="165" fontId="42" fillId="0" borderId="34" xfId="0" applyNumberFormat="1" applyFont="1" applyFill="1" applyBorder="1" applyAlignment="1" applyProtection="1">
      <alignment vertical="center"/>
    </xf>
    <xf numFmtId="9" fontId="42" fillId="0" borderId="0" xfId="0" applyNumberFormat="1" applyFont="1" applyFill="1" applyBorder="1" applyAlignment="1" applyProtection="1">
      <alignment vertical="center"/>
    </xf>
    <xf numFmtId="165" fontId="8" fillId="0" borderId="0" xfId="0" applyNumberFormat="1" applyFont="1" applyFill="1" applyBorder="1" applyAlignment="1" applyProtection="1">
      <alignment vertical="center"/>
    </xf>
    <xf numFmtId="165" fontId="42" fillId="0" borderId="0" xfId="0" applyNumberFormat="1" applyFont="1" applyFill="1" applyBorder="1" applyAlignment="1" applyProtection="1">
      <alignment vertical="center"/>
    </xf>
    <xf numFmtId="0" fontId="15" fillId="0" borderId="23" xfId="0" applyFont="1" applyFill="1" applyBorder="1" applyAlignment="1" applyProtection="1">
      <alignment horizontal="right" vertical="center"/>
    </xf>
    <xf numFmtId="0" fontId="7" fillId="0" borderId="4" xfId="67" applyFont="1" applyFill="1" applyBorder="1" applyAlignment="1" applyProtection="1">
      <alignment vertical="center"/>
    </xf>
    <xf numFmtId="0" fontId="16" fillId="0" borderId="13" xfId="0" applyFont="1" applyFill="1" applyBorder="1" applyAlignment="1" applyProtection="1">
      <alignment vertical="center"/>
    </xf>
    <xf numFmtId="0" fontId="12" fillId="0" borderId="4" xfId="0" applyFont="1" applyFill="1" applyBorder="1" applyAlignment="1" applyProtection="1">
      <alignment horizontal="center" vertical="center"/>
    </xf>
    <xf numFmtId="0" fontId="14" fillId="0" borderId="35" xfId="0" applyFont="1" applyFill="1" applyBorder="1" applyAlignment="1" applyProtection="1">
      <alignment vertical="center"/>
    </xf>
    <xf numFmtId="0" fontId="12" fillId="0" borderId="16" xfId="0" applyFont="1" applyFill="1" applyBorder="1" applyAlignment="1" applyProtection="1">
      <alignment horizontal="center" vertical="center"/>
    </xf>
    <xf numFmtId="0" fontId="45" fillId="0" borderId="5" xfId="0" applyFont="1" applyFill="1" applyBorder="1" applyAlignment="1" applyProtection="1">
      <alignment horizontal="center" vertical="center"/>
    </xf>
    <xf numFmtId="0" fontId="12" fillId="0" borderId="32" xfId="0" applyFont="1" applyFill="1" applyBorder="1" applyAlignment="1" applyProtection="1">
      <alignment horizontal="center" vertical="center"/>
    </xf>
    <xf numFmtId="0" fontId="42" fillId="0" borderId="0" xfId="0" applyNumberFormat="1" applyFont="1" applyFill="1" applyBorder="1" applyAlignment="1" applyProtection="1">
      <alignment horizontal="center" vertical="center"/>
    </xf>
    <xf numFmtId="164" fontId="8" fillId="29" borderId="6" xfId="0" applyNumberFormat="1" applyFont="1" applyFill="1" applyBorder="1" applyAlignment="1" applyProtection="1">
      <alignment vertical="center"/>
    </xf>
    <xf numFmtId="164" fontId="8" fillId="29" borderId="36" xfId="0" applyNumberFormat="1" applyFont="1" applyFill="1" applyBorder="1" applyAlignment="1" applyProtection="1">
      <alignment vertical="center"/>
    </xf>
    <xf numFmtId="0" fontId="42" fillId="0" borderId="37" xfId="0" applyFont="1" applyFill="1" applyBorder="1" applyAlignment="1" applyProtection="1">
      <alignment vertical="center"/>
    </xf>
    <xf numFmtId="164" fontId="3" fillId="29" borderId="6" xfId="0" applyNumberFormat="1" applyFont="1" applyFill="1" applyBorder="1" applyAlignment="1" applyProtection="1">
      <alignment vertical="center"/>
    </xf>
    <xf numFmtId="0" fontId="70" fillId="0" borderId="0" xfId="66" applyFont="1" applyFill="1" applyBorder="1" applyProtection="1">
      <alignment horizontal="center" vertical="center" wrapText="1"/>
    </xf>
    <xf numFmtId="9" fontId="77" fillId="29" borderId="6" xfId="69" applyNumberFormat="1" applyFont="1" applyFill="1" applyBorder="1" applyAlignment="1" applyProtection="1">
      <alignment vertical="center"/>
    </xf>
    <xf numFmtId="176" fontId="77" fillId="29" borderId="6" xfId="71" applyNumberFormat="1" applyFont="1" applyFill="1" applyBorder="1" applyAlignment="1" applyProtection="1">
      <alignment vertical="center"/>
    </xf>
    <xf numFmtId="179" fontId="77" fillId="29" borderId="6" xfId="71" applyNumberFormat="1" applyFont="1" applyFill="1" applyBorder="1" applyAlignment="1" applyProtection="1">
      <alignment vertical="center"/>
    </xf>
    <xf numFmtId="176" fontId="8" fillId="29" borderId="6" xfId="71" applyNumberFormat="1" applyFont="1" applyFill="1" applyBorder="1" applyAlignment="1" applyProtection="1">
      <alignment vertical="center"/>
    </xf>
    <xf numFmtId="177" fontId="8" fillId="29" borderId="6" xfId="71" applyNumberFormat="1" applyFont="1" applyFill="1" applyBorder="1" applyAlignment="1" applyProtection="1">
      <alignment vertical="center"/>
    </xf>
    <xf numFmtId="179" fontId="77" fillId="0" borderId="0" xfId="71" applyNumberFormat="1" applyFont="1" applyFill="1" applyBorder="1" applyAlignment="1" applyProtection="1">
      <alignment vertical="center"/>
    </xf>
    <xf numFmtId="177" fontId="8" fillId="0" borderId="0" xfId="71" applyNumberFormat="1" applyFont="1" applyFill="1" applyBorder="1" applyAlignment="1" applyProtection="1">
      <alignment vertical="center"/>
    </xf>
    <xf numFmtId="173" fontId="8" fillId="29" borderId="36" xfId="0" applyNumberFormat="1" applyFont="1" applyFill="1" applyBorder="1" applyAlignment="1" applyProtection="1">
      <alignment vertical="center"/>
    </xf>
    <xf numFmtId="173" fontId="8" fillId="29" borderId="6" xfId="0" applyNumberFormat="1" applyFont="1" applyFill="1" applyBorder="1" applyAlignment="1" applyProtection="1">
      <alignment vertical="center"/>
    </xf>
    <xf numFmtId="174" fontId="3" fillId="29" borderId="6" xfId="0" applyNumberFormat="1" applyFont="1" applyFill="1" applyBorder="1" applyAlignment="1" applyProtection="1">
      <alignment vertical="center"/>
    </xf>
    <xf numFmtId="174" fontId="8" fillId="29" borderId="6" xfId="0" applyNumberFormat="1" applyFont="1" applyFill="1" applyBorder="1" applyAlignment="1" applyProtection="1">
      <alignment vertical="center"/>
    </xf>
    <xf numFmtId="173" fontId="5" fillId="0" borderId="0" xfId="0" applyNumberFormat="1" applyFont="1" applyFill="1" applyBorder="1" applyAlignment="1" applyProtection="1">
      <alignment horizontal="right" vertical="center"/>
    </xf>
    <xf numFmtId="164" fontId="55" fillId="0" borderId="31" xfId="0" applyNumberFormat="1" applyFont="1" applyFill="1" applyBorder="1" applyAlignment="1" applyProtection="1">
      <alignment horizontal="left" vertical="center"/>
    </xf>
    <xf numFmtId="164" fontId="3" fillId="29" borderId="36" xfId="0" applyNumberFormat="1" applyFont="1" applyFill="1" applyBorder="1" applyAlignment="1" applyProtection="1">
      <alignment vertical="center"/>
    </xf>
    <xf numFmtId="164" fontId="72" fillId="0" borderId="16" xfId="0" applyNumberFormat="1" applyFont="1" applyFill="1" applyBorder="1" applyAlignment="1" applyProtection="1">
      <alignment vertical="center"/>
    </xf>
    <xf numFmtId="0" fontId="78" fillId="0" borderId="14" xfId="0" applyFont="1" applyFill="1" applyBorder="1" applyAlignment="1" applyProtection="1">
      <alignment vertical="center"/>
    </xf>
    <xf numFmtId="0" fontId="78" fillId="0" borderId="0" xfId="0" applyFont="1" applyFill="1" applyBorder="1" applyAlignment="1" applyProtection="1">
      <alignment horizontal="right" vertical="center"/>
    </xf>
    <xf numFmtId="0" fontId="79" fillId="0" borderId="0" xfId="0" applyFont="1" applyFill="1" applyBorder="1" applyAlignment="1" applyProtection="1">
      <alignment vertical="center"/>
    </xf>
    <xf numFmtId="0" fontId="80" fillId="0" borderId="0" xfId="0" applyFont="1" applyFill="1" applyBorder="1" applyAlignment="1" applyProtection="1">
      <alignment horizontal="center" vertical="center"/>
    </xf>
    <xf numFmtId="0" fontId="78" fillId="0" borderId="13" xfId="0" applyFont="1" applyFill="1" applyBorder="1" applyAlignment="1" applyProtection="1">
      <alignment vertical="center"/>
    </xf>
    <xf numFmtId="164" fontId="43" fillId="0" borderId="0" xfId="0" applyNumberFormat="1" applyFont="1" applyFill="1" applyBorder="1" applyAlignment="1" applyProtection="1">
      <alignment vertical="center"/>
    </xf>
    <xf numFmtId="0" fontId="12" fillId="0" borderId="0" xfId="0" applyFont="1" applyFill="1" applyBorder="1" applyAlignment="1" applyProtection="1">
      <alignment horizontal="center" vertical="center"/>
    </xf>
    <xf numFmtId="164" fontId="69" fillId="0" borderId="14" xfId="0" applyNumberFormat="1" applyFont="1" applyFill="1" applyBorder="1" applyAlignment="1" applyProtection="1">
      <alignment horizontal="right" vertical="center"/>
    </xf>
    <xf numFmtId="164" fontId="81" fillId="0" borderId="0" xfId="0" applyNumberFormat="1" applyFont="1" applyFill="1" applyBorder="1" applyAlignment="1" applyProtection="1">
      <alignment vertical="center"/>
    </xf>
    <xf numFmtId="0" fontId="69" fillId="0" borderId="0" xfId="68" applyFont="1" applyFill="1" applyBorder="1" applyAlignment="1" applyProtection="1">
      <alignment horizontal="right" vertical="center"/>
    </xf>
    <xf numFmtId="0" fontId="14" fillId="0" borderId="19" xfId="0" applyFont="1" applyFill="1" applyBorder="1" applyAlignment="1" applyProtection="1">
      <alignment vertical="center"/>
    </xf>
    <xf numFmtId="172" fontId="42" fillId="29" borderId="6" xfId="0" applyNumberFormat="1" applyFont="1" applyFill="1" applyBorder="1" applyAlignment="1" applyProtection="1">
      <alignment vertical="center"/>
    </xf>
    <xf numFmtId="181" fontId="42" fillId="29" borderId="6" xfId="0" applyNumberFormat="1" applyFont="1" applyFill="1" applyBorder="1" applyAlignment="1" applyProtection="1">
      <alignment vertical="center"/>
      <protection locked="0" hidden="1"/>
    </xf>
    <xf numFmtId="165" fontId="8" fillId="29" borderId="6" xfId="0" applyNumberFormat="1" applyFont="1" applyFill="1" applyBorder="1" applyAlignment="1" applyProtection="1">
      <alignment vertical="center"/>
    </xf>
    <xf numFmtId="0" fontId="14" fillId="0" borderId="0" xfId="0" applyFont="1" applyFill="1" applyBorder="1" applyAlignment="1" applyProtection="1">
      <alignment vertical="center"/>
    </xf>
    <xf numFmtId="0" fontId="42" fillId="0" borderId="36" xfId="0" quotePrefix="1" applyFont="1" applyFill="1" applyBorder="1" applyAlignment="1" applyProtection="1">
      <alignment horizontal="center" vertical="center"/>
    </xf>
    <xf numFmtId="0" fontId="5" fillId="0" borderId="14" xfId="68" applyFont="1" applyFill="1" applyBorder="1" applyProtection="1">
      <alignment vertical="center"/>
    </xf>
    <xf numFmtId="0" fontId="16" fillId="0" borderId="35" xfId="0" applyFont="1" applyFill="1" applyBorder="1" applyAlignment="1" applyProtection="1">
      <alignment vertical="center"/>
    </xf>
    <xf numFmtId="0" fontId="3" fillId="0" borderId="35" xfId="0" applyFont="1" applyFill="1" applyBorder="1" applyAlignment="1" applyProtection="1">
      <alignment vertical="center"/>
    </xf>
    <xf numFmtId="164" fontId="51" fillId="0" borderId="0" xfId="0" applyNumberFormat="1" applyFont="1" applyFill="1" applyBorder="1" applyAlignment="1" applyProtection="1">
      <alignment vertical="center"/>
    </xf>
    <xf numFmtId="164" fontId="51" fillId="0" borderId="4" xfId="0" applyNumberFormat="1" applyFont="1" applyFill="1" applyBorder="1" applyAlignment="1" applyProtection="1">
      <alignment vertical="center"/>
    </xf>
    <xf numFmtId="49" fontId="5" fillId="0" borderId="17" xfId="67" applyNumberFormat="1" applyFill="1" applyBorder="1" applyAlignment="1" applyProtection="1">
      <alignment vertical="center"/>
    </xf>
    <xf numFmtId="0" fontId="15" fillId="0" borderId="18" xfId="0" applyFont="1" applyFill="1" applyBorder="1" applyAlignment="1" applyProtection="1">
      <alignment horizontal="right" vertical="center"/>
    </xf>
    <xf numFmtId="172" fontId="42" fillId="0" borderId="18" xfId="0" applyNumberFormat="1" applyFont="1" applyFill="1" applyBorder="1" applyAlignment="1" applyProtection="1">
      <alignment vertical="center"/>
    </xf>
    <xf numFmtId="165" fontId="8" fillId="0" borderId="18" xfId="0" applyNumberFormat="1" applyFont="1" applyFill="1" applyBorder="1" applyAlignment="1" applyProtection="1">
      <alignment vertical="center"/>
    </xf>
    <xf numFmtId="0" fontId="3" fillId="0" borderId="19" xfId="0" applyFont="1" applyFill="1" applyBorder="1" applyAlignment="1" applyProtection="1">
      <alignment vertical="center"/>
    </xf>
    <xf numFmtId="165" fontId="17" fillId="0" borderId="31" xfId="0" applyNumberFormat="1" applyFont="1" applyFill="1" applyBorder="1" applyAlignment="1" applyProtection="1">
      <alignment vertical="center"/>
    </xf>
    <xf numFmtId="49" fontId="3" fillId="0" borderId="15" xfId="67" applyNumberFormat="1" applyFont="1" applyFill="1" applyBorder="1" applyAlignment="1" applyProtection="1">
      <alignment vertical="center" wrapText="1"/>
    </xf>
    <xf numFmtId="0" fontId="3" fillId="0" borderId="15" xfId="68" applyFont="1" applyFill="1" applyBorder="1" applyProtection="1">
      <alignment vertical="center"/>
    </xf>
    <xf numFmtId="0" fontId="3" fillId="0" borderId="26" xfId="68" applyFont="1" applyFill="1" applyBorder="1" applyProtection="1">
      <alignment vertical="center"/>
    </xf>
    <xf numFmtId="0" fontId="3" fillId="0" borderId="17" xfId="67" applyFont="1" applyFill="1" applyBorder="1" applyProtection="1">
      <alignment vertical="center"/>
    </xf>
    <xf numFmtId="0" fontId="44" fillId="0" borderId="18" xfId="67" applyFont="1" applyFill="1" applyBorder="1" applyAlignment="1" applyProtection="1">
      <alignment vertical="center"/>
    </xf>
    <xf numFmtId="164" fontId="17" fillId="0" borderId="18" xfId="0" applyNumberFormat="1" applyFont="1" applyFill="1" applyBorder="1" applyAlignment="1" applyProtection="1">
      <alignment vertical="center"/>
    </xf>
    <xf numFmtId="0" fontId="42" fillId="0" borderId="18" xfId="0" applyNumberFormat="1" applyFont="1" applyFill="1" applyBorder="1" applyAlignment="1" applyProtection="1">
      <alignment horizontal="center" vertical="center"/>
    </xf>
    <xf numFmtId="164" fontId="3" fillId="0" borderId="18" xfId="0" applyNumberFormat="1" applyFont="1" applyFill="1" applyBorder="1" applyAlignment="1" applyProtection="1">
      <alignment vertical="center"/>
    </xf>
    <xf numFmtId="0" fontId="14" fillId="0" borderId="5" xfId="0" applyFont="1" applyFill="1" applyBorder="1" applyAlignment="1" applyProtection="1">
      <alignment vertical="center"/>
    </xf>
    <xf numFmtId="164" fontId="3" fillId="29" borderId="22" xfId="0" applyNumberFormat="1" applyFont="1" applyFill="1" applyBorder="1" applyAlignment="1" applyProtection="1">
      <alignment vertical="center"/>
    </xf>
    <xf numFmtId="0" fontId="3" fillId="29" borderId="22" xfId="0" applyNumberFormat="1" applyFont="1" applyFill="1" applyBorder="1" applyAlignment="1" applyProtection="1">
      <alignment vertical="center"/>
    </xf>
    <xf numFmtId="0" fontId="82" fillId="0" borderId="38" xfId="67" applyFont="1" applyFill="1" applyBorder="1" applyAlignment="1" applyProtection="1">
      <alignment horizontal="right" vertical="center"/>
    </xf>
    <xf numFmtId="165" fontId="8" fillId="0" borderId="30" xfId="0" applyNumberFormat="1" applyFont="1" applyFill="1" applyBorder="1" applyAlignment="1" applyProtection="1">
      <alignment vertical="center"/>
    </xf>
    <xf numFmtId="0" fontId="80" fillId="0" borderId="0" xfId="66" applyFont="1" applyFill="1" applyAlignment="1" applyProtection="1">
      <alignment horizontal="center" vertical="center" wrapText="1"/>
    </xf>
    <xf numFmtId="0" fontId="72" fillId="0" borderId="5" xfId="68" applyFont="1" applyFill="1" applyBorder="1" applyAlignment="1" applyProtection="1">
      <alignment vertical="center"/>
    </xf>
    <xf numFmtId="0" fontId="72" fillId="0" borderId="0" xfId="68" applyFont="1" applyFill="1" applyBorder="1" applyAlignment="1" applyProtection="1">
      <alignment vertical="center"/>
    </xf>
    <xf numFmtId="0" fontId="80" fillId="0" borderId="14" xfId="67" applyFont="1" applyFill="1" applyBorder="1" applyAlignment="1" applyProtection="1">
      <alignment vertical="center"/>
    </xf>
    <xf numFmtId="0" fontId="80" fillId="0" borderId="0" xfId="67" applyFont="1" applyFill="1" applyBorder="1" applyAlignment="1" applyProtection="1">
      <alignment vertical="center"/>
    </xf>
    <xf numFmtId="0" fontId="69" fillId="0" borderId="0" xfId="68" applyFont="1" applyFill="1" applyBorder="1" applyAlignment="1" applyProtection="1">
      <alignment vertical="center"/>
    </xf>
    <xf numFmtId="0" fontId="69" fillId="0" borderId="13" xfId="68" applyFont="1" applyFill="1" applyBorder="1" applyAlignment="1" applyProtection="1">
      <alignment horizontal="right" vertical="center"/>
    </xf>
    <xf numFmtId="164" fontId="80" fillId="0" borderId="0" xfId="0" applyNumberFormat="1" applyFont="1" applyFill="1" applyBorder="1" applyAlignment="1" applyProtection="1">
      <alignment vertical="center"/>
    </xf>
    <xf numFmtId="0" fontId="80" fillId="0" borderId="38" xfId="67" applyFont="1" applyFill="1" applyBorder="1" applyAlignment="1" applyProtection="1">
      <alignment horizontal="right" vertical="center"/>
    </xf>
    <xf numFmtId="0" fontId="72" fillId="0" borderId="39" xfId="68" applyFont="1" applyFill="1" applyBorder="1" applyAlignment="1" applyProtection="1">
      <alignment vertical="center"/>
    </xf>
    <xf numFmtId="0" fontId="72" fillId="0" borderId="38" xfId="68" applyFont="1" applyFill="1" applyBorder="1" applyAlignment="1" applyProtection="1">
      <alignment vertical="center"/>
    </xf>
    <xf numFmtId="0" fontId="15" fillId="0" borderId="0" xfId="0" applyFont="1" applyFill="1" applyBorder="1" applyAlignment="1" applyProtection="1">
      <alignment horizontal="right" vertical="center"/>
    </xf>
    <xf numFmtId="172" fontId="42" fillId="0" borderId="38" xfId="0" applyNumberFormat="1" applyFont="1" applyFill="1" applyBorder="1" applyAlignment="1" applyProtection="1">
      <alignment vertical="center"/>
    </xf>
    <xf numFmtId="165" fontId="8" fillId="0" borderId="38" xfId="0" applyNumberFormat="1" applyFont="1" applyFill="1" applyBorder="1" applyAlignment="1" applyProtection="1">
      <alignment vertical="center"/>
    </xf>
    <xf numFmtId="0" fontId="42" fillId="0" borderId="30" xfId="0" applyFont="1" applyFill="1" applyBorder="1" applyAlignment="1" applyProtection="1">
      <alignment vertical="center"/>
    </xf>
    <xf numFmtId="0" fontId="42" fillId="0" borderId="33" xfId="0" applyFont="1" applyFill="1" applyBorder="1" applyAlignment="1" applyProtection="1">
      <alignment vertical="center"/>
    </xf>
    <xf numFmtId="0" fontId="3" fillId="0" borderId="13" xfId="0" applyFont="1" applyFill="1" applyBorder="1" applyAlignment="1" applyProtection="1">
      <alignment vertical="center"/>
    </xf>
    <xf numFmtId="165" fontId="80" fillId="29" borderId="33" xfId="0" applyNumberFormat="1" applyFont="1" applyFill="1" applyBorder="1" applyAlignment="1" applyProtection="1">
      <alignment vertical="center"/>
    </xf>
    <xf numFmtId="0" fontId="81" fillId="0" borderId="20" xfId="68" applyFont="1" applyFill="1" applyBorder="1" applyProtection="1">
      <alignment vertical="center"/>
    </xf>
    <xf numFmtId="0" fontId="42" fillId="0" borderId="21" xfId="0" applyNumberFormat="1" applyFont="1" applyFill="1" applyBorder="1" applyAlignment="1" applyProtection="1">
      <alignment horizontal="center" vertical="center"/>
    </xf>
    <xf numFmtId="165" fontId="3" fillId="29" borderId="36" xfId="0" applyNumberFormat="1" applyFont="1" applyFill="1" applyBorder="1" applyAlignment="1" applyProtection="1">
      <alignment vertical="center"/>
    </xf>
    <xf numFmtId="165" fontId="3" fillId="29" borderId="6" xfId="0" applyNumberFormat="1" applyFont="1" applyFill="1" applyBorder="1" applyAlignment="1" applyProtection="1">
      <alignment vertical="center"/>
    </xf>
    <xf numFmtId="165" fontId="3" fillId="29" borderId="37" xfId="0" applyNumberFormat="1" applyFont="1" applyFill="1" applyBorder="1" applyAlignment="1" applyProtection="1">
      <alignment vertical="center"/>
    </xf>
    <xf numFmtId="0" fontId="42" fillId="0" borderId="40" xfId="0" applyNumberFormat="1" applyFont="1" applyFill="1" applyBorder="1" applyAlignment="1" applyProtection="1">
      <alignment horizontal="center" vertical="center"/>
    </xf>
    <xf numFmtId="0" fontId="16" fillId="0" borderId="19" xfId="0" applyFont="1" applyFill="1" applyBorder="1" applyAlignment="1" applyProtection="1">
      <alignment vertical="center"/>
    </xf>
    <xf numFmtId="0" fontId="16" fillId="0" borderId="41" xfId="0" applyFont="1" applyFill="1" applyBorder="1" applyAlignment="1" applyProtection="1">
      <alignment vertical="center"/>
    </xf>
    <xf numFmtId="0" fontId="3" fillId="0" borderId="5" xfId="67" applyFont="1" applyFill="1" applyBorder="1" applyProtection="1">
      <alignment vertical="center"/>
    </xf>
    <xf numFmtId="0" fontId="81" fillId="0" borderId="0" xfId="67" applyFont="1" applyFill="1" applyBorder="1" applyAlignment="1" applyProtection="1">
      <alignment horizontal="right" vertical="center"/>
    </xf>
    <xf numFmtId="164" fontId="47" fillId="0" borderId="30" xfId="0" applyNumberFormat="1" applyFont="1" applyFill="1" applyBorder="1" applyAlignment="1" applyProtection="1">
      <alignment vertical="center"/>
    </xf>
    <xf numFmtId="0" fontId="68" fillId="0" borderId="5" xfId="68" applyFont="1" applyFill="1" applyBorder="1" applyAlignment="1" applyProtection="1">
      <alignment horizontal="right" vertical="center"/>
    </xf>
    <xf numFmtId="0" fontId="68" fillId="0" borderId="0" xfId="68" applyFont="1" applyFill="1" applyBorder="1" applyAlignment="1" applyProtection="1">
      <alignment horizontal="right" vertical="center"/>
    </xf>
    <xf numFmtId="0" fontId="72" fillId="0" borderId="14" xfId="68" applyFont="1" applyFill="1" applyBorder="1" applyProtection="1">
      <alignment vertical="center"/>
    </xf>
    <xf numFmtId="167" fontId="3" fillId="0" borderId="0" xfId="0" applyNumberFormat="1" applyFont="1" applyFill="1" applyBorder="1" applyAlignment="1" applyProtection="1">
      <alignment horizontal="center"/>
    </xf>
    <xf numFmtId="164" fontId="72" fillId="0" borderId="14" xfId="0" applyNumberFormat="1" applyFont="1" applyFill="1" applyBorder="1" applyAlignment="1" applyProtection="1">
      <alignment vertical="center"/>
    </xf>
    <xf numFmtId="0" fontId="0" fillId="30" borderId="42" xfId="0" applyFill="1" applyBorder="1" applyAlignment="1" applyProtection="1">
      <alignment horizontal="center"/>
    </xf>
    <xf numFmtId="0" fontId="0" fillId="30" borderId="43" xfId="0" applyFill="1" applyBorder="1" applyAlignment="1" applyProtection="1">
      <alignment horizontal="center"/>
    </xf>
    <xf numFmtId="175" fontId="81" fillId="30" borderId="36" xfId="69" applyNumberFormat="1" applyFont="1" applyFill="1" applyBorder="1" applyProtection="1">
      <alignment horizontal="right"/>
    </xf>
    <xf numFmtId="171" fontId="81" fillId="27" borderId="36" xfId="71" applyFont="1" applyFill="1" applyBorder="1" applyProtection="1">
      <alignment horizontal="right"/>
    </xf>
    <xf numFmtId="0" fontId="5" fillId="0" borderId="44" xfId="67" applyFont="1" applyFill="1" applyBorder="1" applyAlignment="1" applyProtection="1">
      <alignment horizontal="center" vertical="center"/>
    </xf>
    <xf numFmtId="0" fontId="5" fillId="0" borderId="45" xfId="67" applyFont="1" applyFill="1" applyBorder="1" applyAlignment="1" applyProtection="1">
      <alignment horizontal="center" vertical="center" wrapText="1"/>
    </xf>
    <xf numFmtId="0" fontId="5" fillId="0" borderId="46" xfId="0" applyFont="1" applyFill="1" applyBorder="1" applyAlignment="1" applyProtection="1">
      <alignment horizontal="center" vertical="center" wrapText="1"/>
    </xf>
    <xf numFmtId="171" fontId="8" fillId="27" borderId="47" xfId="71" applyFill="1" applyBorder="1" applyProtection="1">
      <alignment horizontal="right"/>
    </xf>
    <xf numFmtId="171" fontId="8" fillId="27" borderId="48" xfId="71" applyFill="1" applyBorder="1" applyProtection="1">
      <alignment horizontal="right"/>
    </xf>
    <xf numFmtId="0" fontId="83" fillId="0" borderId="0" xfId="0" applyFont="1" applyFill="1"/>
    <xf numFmtId="0" fontId="71" fillId="0" borderId="0" xfId="0" applyFont="1" applyFill="1" applyAlignment="1">
      <alignment vertical="center" wrapText="1"/>
    </xf>
    <xf numFmtId="0" fontId="21" fillId="0" borderId="22" xfId="66" applyFont="1" applyFill="1" applyBorder="1" applyProtection="1">
      <alignment horizontal="center" vertical="center" wrapText="1"/>
    </xf>
    <xf numFmtId="0" fontId="4" fillId="0" borderId="22" xfId="66" applyFont="1" applyFill="1" applyBorder="1" applyProtection="1">
      <alignment horizontal="center" vertical="center" wrapText="1"/>
    </xf>
    <xf numFmtId="0" fontId="4" fillId="0" borderId="21" xfId="66" applyFont="1" applyFill="1" applyBorder="1" applyProtection="1">
      <alignment horizontal="center" vertical="center" wrapText="1"/>
    </xf>
    <xf numFmtId="0" fontId="4" fillId="0" borderId="16" xfId="66" applyFont="1" applyFill="1" applyBorder="1" applyProtection="1">
      <alignment horizontal="center" vertical="center" wrapText="1"/>
    </xf>
    <xf numFmtId="0" fontId="5" fillId="0" borderId="6" xfId="66" applyFill="1" applyBorder="1" applyProtection="1">
      <alignment horizontal="center" vertical="center" wrapText="1"/>
    </xf>
    <xf numFmtId="0" fontId="5" fillId="0" borderId="37" xfId="66" applyFill="1" applyBorder="1" applyProtection="1">
      <alignment horizontal="center" vertical="center" wrapText="1"/>
    </xf>
    <xf numFmtId="0" fontId="5" fillId="0" borderId="25" xfId="66" applyFill="1" applyBorder="1" applyAlignment="1" applyProtection="1">
      <alignment vertical="center" wrapText="1"/>
    </xf>
    <xf numFmtId="0" fontId="5" fillId="0" borderId="6" xfId="66" applyFill="1" applyBorder="1" applyAlignment="1" applyProtection="1">
      <alignment horizontal="center" vertical="center" wrapText="1"/>
    </xf>
    <xf numFmtId="172" fontId="3" fillId="0" borderId="0" xfId="79" applyFont="1" applyFill="1" applyBorder="1" applyAlignment="1" applyProtection="1">
      <alignment horizontal="center"/>
    </xf>
    <xf numFmtId="164" fontId="55" fillId="29" borderId="22" xfId="0" applyNumberFormat="1" applyFont="1" applyFill="1" applyBorder="1" applyAlignment="1" applyProtection="1">
      <alignment vertical="center"/>
    </xf>
    <xf numFmtId="0" fontId="55" fillId="29" borderId="22" xfId="0" applyNumberFormat="1" applyFont="1" applyFill="1" applyBorder="1" applyAlignment="1" applyProtection="1">
      <alignment vertical="center"/>
    </xf>
    <xf numFmtId="0" fontId="0" fillId="0" borderId="39" xfId="0" applyBorder="1"/>
    <xf numFmtId="179" fontId="8" fillId="0" borderId="0" xfId="69" applyNumberFormat="1" applyFont="1" applyFill="1" applyBorder="1" applyAlignment="1" applyProtection="1">
      <alignment vertical="center"/>
    </xf>
    <xf numFmtId="180" fontId="8" fillId="0" borderId="0" xfId="71" quotePrefix="1" applyNumberFormat="1" applyFont="1" applyFill="1" applyBorder="1" applyAlignment="1" applyProtection="1">
      <alignment vertical="center"/>
    </xf>
    <xf numFmtId="167" fontId="8" fillId="0" borderId="0" xfId="0" applyNumberFormat="1" applyFont="1" applyFill="1" applyBorder="1" applyAlignment="1" applyProtection="1">
      <alignment horizontal="right"/>
    </xf>
    <xf numFmtId="176" fontId="77" fillId="0" borderId="0" xfId="69" applyNumberFormat="1" applyFont="1" applyFill="1" applyBorder="1" applyAlignment="1" applyProtection="1">
      <alignment vertical="center"/>
    </xf>
    <xf numFmtId="3" fontId="0" fillId="0" borderId="34" xfId="0" applyNumberFormat="1" applyFill="1" applyBorder="1" applyAlignment="1" applyProtection="1">
      <alignment horizontal="center"/>
    </xf>
    <xf numFmtId="3" fontId="0" fillId="0" borderId="36" xfId="0" applyNumberFormat="1" applyFill="1" applyBorder="1" applyAlignment="1" applyProtection="1">
      <alignment horizontal="center"/>
    </xf>
    <xf numFmtId="3" fontId="3" fillId="0" borderId="37" xfId="0" applyNumberFormat="1" applyFont="1" applyFill="1" applyBorder="1" applyAlignment="1" applyProtection="1">
      <alignment horizontal="center"/>
    </xf>
    <xf numFmtId="3" fontId="3" fillId="0" borderId="34" xfId="0" applyNumberFormat="1" applyFont="1" applyFill="1" applyBorder="1" applyAlignment="1" applyProtection="1">
      <alignment horizontal="center"/>
    </xf>
    <xf numFmtId="3" fontId="3" fillId="0" borderId="36" xfId="0" applyNumberFormat="1" applyFont="1" applyFill="1" applyBorder="1" applyAlignment="1" applyProtection="1">
      <alignment horizontal="center"/>
    </xf>
    <xf numFmtId="167" fontId="0" fillId="0" borderId="37" xfId="0" applyNumberFormat="1" applyFill="1" applyBorder="1" applyAlignment="1" applyProtection="1">
      <alignment horizontal="center"/>
    </xf>
    <xf numFmtId="0" fontId="3" fillId="0" borderId="49" xfId="0" applyFont="1" applyFill="1" applyBorder="1" applyAlignment="1" applyProtection="1">
      <alignment horizontal="center"/>
    </xf>
    <xf numFmtId="1" fontId="0" fillId="0" borderId="37" xfId="0" applyNumberFormat="1" applyFill="1" applyBorder="1" applyAlignment="1" applyProtection="1">
      <alignment horizontal="center"/>
    </xf>
    <xf numFmtId="0" fontId="0" fillId="0" borderId="37" xfId="0" applyFill="1" applyBorder="1" applyAlignment="1" applyProtection="1">
      <alignment horizontal="center"/>
    </xf>
    <xf numFmtId="172" fontId="3" fillId="0" borderId="37" xfId="79" applyFont="1" applyFill="1" applyBorder="1" applyAlignment="1" applyProtection="1">
      <alignment horizontal="center"/>
    </xf>
    <xf numFmtId="172" fontId="3" fillId="0" borderId="37" xfId="79" applyFill="1" applyBorder="1" applyAlignment="1" applyProtection="1">
      <alignment horizontal="center"/>
    </xf>
    <xf numFmtId="172" fontId="3" fillId="0" borderId="25" xfId="79" applyFill="1" applyBorder="1" applyAlignment="1" applyProtection="1">
      <alignment horizontal="center"/>
    </xf>
    <xf numFmtId="0" fontId="0" fillId="0" borderId="30" xfId="0" applyFill="1" applyBorder="1" applyAlignment="1" applyProtection="1">
      <alignment horizontal="center"/>
    </xf>
    <xf numFmtId="1" fontId="0" fillId="0" borderId="34" xfId="0" applyNumberFormat="1" applyFill="1" applyBorder="1" applyAlignment="1" applyProtection="1">
      <alignment horizontal="center"/>
    </xf>
    <xf numFmtId="0" fontId="0" fillId="0" borderId="34" xfId="0" applyFill="1" applyBorder="1" applyAlignment="1" applyProtection="1">
      <alignment horizontal="center"/>
    </xf>
    <xf numFmtId="172" fontId="3" fillId="0" borderId="34" xfId="79" applyFont="1" applyFill="1" applyBorder="1" applyAlignment="1" applyProtection="1">
      <alignment horizontal="center"/>
    </xf>
    <xf numFmtId="172" fontId="3" fillId="0" borderId="34" xfId="79" applyFill="1" applyBorder="1" applyAlignment="1" applyProtection="1">
      <alignment horizontal="center"/>
    </xf>
    <xf numFmtId="172" fontId="3" fillId="0" borderId="33" xfId="79" applyFill="1" applyBorder="1" applyAlignment="1" applyProtection="1">
      <alignment horizontal="center"/>
    </xf>
    <xf numFmtId="0" fontId="0" fillId="0" borderId="24" xfId="0" applyFill="1" applyBorder="1" applyAlignment="1" applyProtection="1">
      <alignment horizontal="center"/>
    </xf>
    <xf numFmtId="1" fontId="0" fillId="0" borderId="36" xfId="0" applyNumberFormat="1" applyFill="1" applyBorder="1" applyAlignment="1" applyProtection="1">
      <alignment horizontal="center"/>
    </xf>
    <xf numFmtId="0" fontId="0" fillId="0" borderId="36" xfId="0" applyFill="1" applyBorder="1" applyAlignment="1" applyProtection="1">
      <alignment horizontal="center"/>
    </xf>
    <xf numFmtId="172" fontId="3" fillId="0" borderId="36" xfId="79" applyFont="1" applyFill="1" applyBorder="1" applyAlignment="1" applyProtection="1">
      <alignment horizontal="center"/>
    </xf>
    <xf numFmtId="172" fontId="3" fillId="0" borderId="36" xfId="79" applyFill="1" applyBorder="1" applyAlignment="1" applyProtection="1">
      <alignment horizontal="center"/>
    </xf>
    <xf numFmtId="172" fontId="3" fillId="0" borderId="23" xfId="79" applyFill="1" applyBorder="1" applyAlignment="1" applyProtection="1">
      <alignment horizontal="center"/>
    </xf>
    <xf numFmtId="0" fontId="81" fillId="0" borderId="0" xfId="68" applyFont="1" applyFill="1" applyBorder="1" applyAlignment="1" applyProtection="1">
      <alignment horizontal="right" vertical="center"/>
    </xf>
    <xf numFmtId="0" fontId="3" fillId="0" borderId="14" xfId="67" applyFont="1" applyFill="1" applyBorder="1" applyAlignment="1" applyProtection="1">
      <alignment vertical="center"/>
    </xf>
    <xf numFmtId="0" fontId="3" fillId="0" borderId="15" xfId="67" applyFont="1" applyFill="1" applyBorder="1" applyAlignment="1" applyProtection="1">
      <alignment vertical="center"/>
    </xf>
    <xf numFmtId="0" fontId="3" fillId="0" borderId="4" xfId="67" applyFont="1" applyFill="1" applyBorder="1" applyAlignment="1" applyProtection="1">
      <alignment vertical="center"/>
    </xf>
    <xf numFmtId="164" fontId="3" fillId="29" borderId="36" xfId="0" applyNumberFormat="1" applyFont="1" applyFill="1" applyBorder="1" applyAlignment="1" applyProtection="1">
      <alignment horizontal="right" vertical="center"/>
    </xf>
    <xf numFmtId="178" fontId="42" fillId="0" borderId="0" xfId="0" applyNumberFormat="1" applyFont="1" applyFill="1" applyBorder="1" applyAlignment="1" applyProtection="1">
      <alignment vertical="center"/>
    </xf>
    <xf numFmtId="0" fontId="81" fillId="0" borderId="0" xfId="0" applyFont="1" applyFill="1" applyBorder="1" applyAlignment="1" applyProtection="1">
      <alignment horizontal="right" vertical="center"/>
    </xf>
    <xf numFmtId="0" fontId="81" fillId="0" borderId="0" xfId="67" applyFont="1" applyFill="1" applyBorder="1" applyAlignment="1" applyProtection="1">
      <alignment vertical="center"/>
    </xf>
    <xf numFmtId="0" fontId="0" fillId="0" borderId="0" xfId="0" applyFill="1" applyBorder="1" applyAlignment="1" applyProtection="1"/>
    <xf numFmtId="0" fontId="5" fillId="0" borderId="15" xfId="67" applyFill="1" applyBorder="1" applyAlignment="1" applyProtection="1"/>
    <xf numFmtId="0" fontId="21" fillId="0" borderId="4" xfId="67" applyFont="1" applyFill="1" applyAlignment="1" applyProtection="1">
      <alignment horizontal="right"/>
    </xf>
    <xf numFmtId="0" fontId="5" fillId="0" borderId="0" xfId="67" applyFill="1" applyBorder="1" applyAlignment="1" applyProtection="1">
      <alignment horizontal="center"/>
    </xf>
    <xf numFmtId="178" fontId="8" fillId="0" borderId="0" xfId="69" applyNumberFormat="1" applyFill="1" applyBorder="1" applyAlignment="1" applyProtection="1">
      <alignment horizontal="center"/>
    </xf>
    <xf numFmtId="0" fontId="42" fillId="0" borderId="0" xfId="0" applyFont="1" applyFill="1" applyBorder="1" applyAlignment="1" applyProtection="1"/>
    <xf numFmtId="0" fontId="0" fillId="0" borderId="13" xfId="0" applyFill="1" applyBorder="1" applyAlignment="1" applyProtection="1"/>
    <xf numFmtId="0" fontId="0" fillId="0" borderId="0" xfId="0" applyFill="1" applyAlignment="1" applyProtection="1"/>
    <xf numFmtId="0" fontId="0" fillId="27" borderId="0" xfId="0" applyFill="1" applyAlignment="1" applyProtection="1"/>
    <xf numFmtId="0" fontId="21" fillId="0" borderId="4" xfId="67" applyFont="1" applyFill="1" applyAlignment="1" applyProtection="1"/>
    <xf numFmtId="179" fontId="8" fillId="0" borderId="0" xfId="71" applyNumberFormat="1" applyFill="1" applyBorder="1" applyAlignment="1" applyProtection="1">
      <alignment horizontal="center"/>
    </xf>
    <xf numFmtId="0" fontId="5" fillId="0" borderId="4" xfId="67" applyFill="1" applyAlignment="1" applyProtection="1"/>
    <xf numFmtId="0" fontId="5" fillId="0" borderId="15" xfId="67" applyFont="1" applyFill="1" applyBorder="1" applyAlignment="1" applyProtection="1"/>
    <xf numFmtId="164" fontId="8" fillId="0" borderId="37" xfId="0" applyNumberFormat="1" applyFont="1" applyFill="1" applyBorder="1" applyAlignment="1" applyProtection="1">
      <alignment vertical="center"/>
    </xf>
    <xf numFmtId="0" fontId="42" fillId="0" borderId="49" xfId="0" applyFont="1" applyFill="1" applyBorder="1" applyAlignment="1" applyProtection="1">
      <alignment vertical="center"/>
    </xf>
    <xf numFmtId="0" fontId="42" fillId="0" borderId="38" xfId="0" applyFont="1" applyFill="1" applyBorder="1" applyAlignment="1" applyProtection="1">
      <alignment vertical="center"/>
    </xf>
    <xf numFmtId="0" fontId="42" fillId="0" borderId="25" xfId="0" applyFont="1" applyFill="1" applyBorder="1" applyAlignment="1" applyProtection="1">
      <alignment vertical="center"/>
    </xf>
    <xf numFmtId="0" fontId="42" fillId="0" borderId="25" xfId="0" applyNumberFormat="1" applyFont="1" applyFill="1" applyBorder="1" applyAlignment="1" applyProtection="1">
      <alignment horizontal="center" vertical="center"/>
    </xf>
    <xf numFmtId="0" fontId="68" fillId="0" borderId="14" xfId="68" applyFont="1" applyFill="1" applyBorder="1" applyAlignment="1" applyProtection="1"/>
    <xf numFmtId="0" fontId="72" fillId="0" borderId="14" xfId="68" applyFont="1" applyFill="1" applyBorder="1" applyAlignment="1" applyProtection="1">
      <alignment vertical="center"/>
    </xf>
    <xf numFmtId="0" fontId="72" fillId="0" borderId="0" xfId="68" applyFont="1" applyFill="1" applyBorder="1" applyAlignment="1" applyProtection="1">
      <alignment horizontal="right" vertical="center"/>
    </xf>
    <xf numFmtId="164" fontId="80" fillId="0" borderId="0" xfId="0" applyNumberFormat="1" applyFont="1" applyFill="1" applyBorder="1" applyAlignment="1" applyProtection="1">
      <alignment horizontal="right" vertical="center"/>
    </xf>
    <xf numFmtId="0" fontId="69" fillId="0" borderId="14" xfId="68" applyFont="1" applyFill="1" applyBorder="1" applyProtection="1">
      <alignment vertical="center"/>
    </xf>
    <xf numFmtId="0" fontId="68" fillId="0" borderId="38" xfId="68" applyFont="1" applyFill="1" applyBorder="1" applyAlignment="1" applyProtection="1">
      <alignment horizontal="right" vertical="center"/>
    </xf>
    <xf numFmtId="0" fontId="68" fillId="0" borderId="38" xfId="68" applyFont="1" applyFill="1" applyBorder="1" applyAlignment="1" applyProtection="1">
      <alignment vertical="center"/>
    </xf>
    <xf numFmtId="0" fontId="3" fillId="0" borderId="0" xfId="0" applyFont="1" applyAlignment="1" applyProtection="1">
      <alignment vertical="center"/>
    </xf>
    <xf numFmtId="166" fontId="3" fillId="0" borderId="0" xfId="76" applyFont="1" applyFill="1" applyAlignment="1" applyProtection="1">
      <alignment vertical="center"/>
    </xf>
    <xf numFmtId="166" fontId="3" fillId="0" borderId="0" xfId="76" applyFont="1" applyFill="1" applyBorder="1" applyAlignment="1" applyProtection="1">
      <alignment horizontal="center" vertical="center"/>
    </xf>
    <xf numFmtId="166" fontId="3" fillId="0" borderId="0" xfId="76" applyFont="1" applyProtection="1"/>
    <xf numFmtId="166" fontId="3" fillId="0" borderId="0" xfId="76" applyFont="1"/>
    <xf numFmtId="166" fontId="22" fillId="0" borderId="0" xfId="76" applyFont="1" applyFill="1" applyAlignment="1" applyProtection="1">
      <alignment vertical="center"/>
    </xf>
    <xf numFmtId="0" fontId="3" fillId="0" borderId="0" xfId="0" applyFont="1" applyAlignment="1">
      <alignment vertical="center"/>
    </xf>
    <xf numFmtId="166" fontId="56" fillId="28" borderId="0" xfId="76" applyFont="1" applyFill="1" applyBorder="1" applyAlignment="1" applyProtection="1">
      <alignment horizontal="center" vertical="center"/>
    </xf>
    <xf numFmtId="166" fontId="3" fillId="0" borderId="6" xfId="76" applyFont="1" applyFill="1" applyBorder="1" applyAlignment="1" applyProtection="1">
      <alignment vertical="center"/>
    </xf>
    <xf numFmtId="166" fontId="3" fillId="28" borderId="0" xfId="76" applyFont="1" applyFill="1" applyBorder="1" applyAlignment="1" applyProtection="1">
      <alignment horizontal="left" vertical="center"/>
    </xf>
    <xf numFmtId="166" fontId="3" fillId="0" borderId="0" xfId="76" applyFont="1" applyFill="1"/>
    <xf numFmtId="2" fontId="3" fillId="27" borderId="47" xfId="76" applyNumberFormat="1" applyFont="1" applyFill="1" applyBorder="1" applyAlignment="1" applyProtection="1">
      <alignment vertical="center"/>
    </xf>
    <xf numFmtId="166" fontId="22" fillId="28" borderId="0" xfId="76" applyFont="1" applyFill="1" applyBorder="1" applyAlignment="1" applyProtection="1">
      <alignment horizontal="left" vertical="center"/>
    </xf>
    <xf numFmtId="166" fontId="3" fillId="0" borderId="16" xfId="76" applyFont="1" applyFill="1" applyBorder="1" applyAlignment="1" applyProtection="1">
      <alignment vertical="center"/>
    </xf>
    <xf numFmtId="2" fontId="3" fillId="27" borderId="48" xfId="76" applyNumberFormat="1" applyFont="1" applyFill="1" applyBorder="1" applyAlignment="1" applyProtection="1">
      <alignment vertical="center"/>
    </xf>
    <xf numFmtId="4" fontId="5" fillId="0" borderId="0" xfId="76" applyNumberFormat="1" applyFont="1" applyFill="1" applyAlignment="1" applyProtection="1">
      <alignment vertical="center"/>
      <protection hidden="1"/>
    </xf>
    <xf numFmtId="4" fontId="5" fillId="0" borderId="0" xfId="76" applyNumberFormat="1" applyFont="1" applyFill="1" applyAlignment="1" applyProtection="1">
      <alignment vertical="center"/>
    </xf>
    <xf numFmtId="4" fontId="5" fillId="28" borderId="21" xfId="76" applyNumberFormat="1" applyFont="1" applyFill="1" applyBorder="1" applyAlignment="1" applyProtection="1">
      <alignment vertical="center"/>
      <protection locked="0"/>
    </xf>
    <xf numFmtId="166" fontId="5" fillId="0" borderId="0" xfId="76" applyFont="1" applyFill="1" applyBorder="1" applyAlignment="1" applyProtection="1">
      <alignment vertical="center"/>
      <protection locked="0"/>
    </xf>
    <xf numFmtId="4" fontId="5" fillId="27" borderId="21" xfId="76" applyNumberFormat="1" applyFont="1" applyFill="1" applyBorder="1" applyAlignment="1" applyProtection="1">
      <alignment vertical="center"/>
      <protection locked="0"/>
    </xf>
    <xf numFmtId="4" fontId="5" fillId="27" borderId="50" xfId="76" applyNumberFormat="1" applyFont="1" applyFill="1" applyBorder="1" applyAlignment="1" applyProtection="1">
      <alignment vertical="center"/>
      <protection locked="0"/>
    </xf>
    <xf numFmtId="166" fontId="22" fillId="27" borderId="0" xfId="76" applyFont="1" applyFill="1" applyAlignment="1" applyProtection="1">
      <alignment vertical="center"/>
      <protection locked="0"/>
    </xf>
    <xf numFmtId="166" fontId="3" fillId="27" borderId="0" xfId="76" applyFont="1" applyFill="1" applyAlignment="1" applyProtection="1">
      <alignment vertical="center"/>
      <protection locked="0"/>
    </xf>
    <xf numFmtId="166" fontId="5" fillId="0" borderId="0" xfId="76" applyFont="1" applyFill="1" applyAlignment="1" applyProtection="1">
      <alignment vertical="center"/>
    </xf>
    <xf numFmtId="166" fontId="5" fillId="0" borderId="0" xfId="76" applyFont="1" applyFill="1" applyBorder="1" applyAlignment="1" applyProtection="1">
      <alignment vertical="center"/>
    </xf>
    <xf numFmtId="166" fontId="5" fillId="0" borderId="0" xfId="76" applyFont="1" applyFill="1" applyAlignment="1">
      <alignment horizontal="left" vertical="center"/>
    </xf>
    <xf numFmtId="166" fontId="3" fillId="0" borderId="0" xfId="76" applyFont="1" applyFill="1" applyAlignment="1" applyProtection="1">
      <alignment vertical="center"/>
      <protection locked="0"/>
    </xf>
    <xf numFmtId="166" fontId="3" fillId="0" borderId="0" xfId="76" applyFont="1" applyFill="1" applyAlignment="1" applyProtection="1">
      <alignment vertical="center"/>
      <protection hidden="1"/>
    </xf>
    <xf numFmtId="3" fontId="5" fillId="0" borderId="0" xfId="76" applyNumberFormat="1" applyFont="1" applyFill="1" applyAlignment="1" applyProtection="1">
      <alignment vertical="center"/>
    </xf>
    <xf numFmtId="3" fontId="5" fillId="0" borderId="0" xfId="76" applyNumberFormat="1" applyFont="1" applyFill="1" applyBorder="1" applyAlignment="1" applyProtection="1">
      <alignment vertical="center"/>
    </xf>
    <xf numFmtId="166" fontId="5" fillId="0" borderId="0" xfId="76" applyFont="1" applyFill="1" applyBorder="1" applyAlignment="1" applyProtection="1">
      <alignment horizontal="center" vertical="center"/>
      <protection hidden="1"/>
    </xf>
    <xf numFmtId="166" fontId="5" fillId="0" borderId="0" xfId="76" applyFont="1" applyFill="1" applyBorder="1" applyAlignment="1" applyProtection="1">
      <alignment horizontal="center" vertical="center"/>
    </xf>
    <xf numFmtId="0" fontId="3" fillId="0" borderId="0" xfId="0" applyFont="1" applyAlignment="1">
      <alignment horizontal="center" vertical="center"/>
    </xf>
    <xf numFmtId="0" fontId="3" fillId="0" borderId="0" xfId="0" applyFont="1" applyAlignment="1" applyProtection="1">
      <alignment horizontal="center" vertical="center"/>
    </xf>
    <xf numFmtId="166" fontId="83" fillId="0" borderId="0" xfId="76" applyFont="1" applyFill="1" applyAlignment="1" applyProtection="1">
      <alignment vertical="center"/>
    </xf>
    <xf numFmtId="166" fontId="5" fillId="0" borderId="0" xfId="76" applyFont="1" applyFill="1" applyBorder="1" applyAlignment="1" applyProtection="1">
      <alignment horizontal="right" vertical="center"/>
    </xf>
    <xf numFmtId="8" fontId="3" fillId="27" borderId="51" xfId="76" applyNumberFormat="1" applyFont="1" applyFill="1" applyBorder="1" applyAlignment="1" applyProtection="1">
      <alignment vertical="center"/>
      <protection hidden="1"/>
    </xf>
    <xf numFmtId="166" fontId="5" fillId="27" borderId="0" xfId="76" applyFont="1" applyFill="1" applyAlignment="1" applyProtection="1">
      <alignment vertical="center"/>
      <protection locked="0"/>
    </xf>
    <xf numFmtId="166" fontId="84" fillId="0" borderId="0" xfId="76" applyFont="1" applyFill="1" applyAlignment="1" applyProtection="1">
      <alignment vertical="center"/>
    </xf>
    <xf numFmtId="3" fontId="5" fillId="0" borderId="0" xfId="76" applyNumberFormat="1" applyFont="1" applyFill="1" applyAlignment="1" applyProtection="1">
      <alignment vertical="center"/>
      <protection hidden="1"/>
    </xf>
    <xf numFmtId="0" fontId="3" fillId="0" borderId="0" xfId="0" applyFont="1" applyAlignment="1" applyProtection="1">
      <alignment vertical="center"/>
      <protection hidden="1"/>
    </xf>
    <xf numFmtId="172" fontId="5" fillId="27" borderId="51" xfId="79" applyFont="1" applyFill="1" applyBorder="1" applyAlignment="1" applyProtection="1">
      <alignment horizontal="right" vertical="center"/>
      <protection hidden="1"/>
    </xf>
    <xf numFmtId="172" fontId="5" fillId="27" borderId="51" xfId="79" applyFont="1" applyFill="1" applyBorder="1" applyAlignment="1" applyProtection="1">
      <alignment horizontal="right" vertical="center"/>
    </xf>
    <xf numFmtId="166" fontId="83" fillId="0" borderId="0" xfId="76" applyFont="1" applyFill="1" applyBorder="1" applyAlignment="1" applyProtection="1">
      <alignment vertical="center"/>
    </xf>
    <xf numFmtId="9" fontId="3" fillId="27" borderId="51" xfId="76" applyNumberFormat="1" applyFont="1" applyFill="1" applyBorder="1" applyAlignment="1" applyProtection="1">
      <alignment vertical="center"/>
      <protection hidden="1"/>
    </xf>
    <xf numFmtId="166" fontId="85" fillId="0" borderId="0" xfId="76" applyFont="1" applyFill="1" applyAlignment="1" applyProtection="1">
      <alignment vertical="center"/>
    </xf>
    <xf numFmtId="166" fontId="3" fillId="0" borderId="0" xfId="76" applyFont="1" applyFill="1" applyBorder="1" applyAlignment="1" applyProtection="1">
      <alignment vertical="center"/>
    </xf>
    <xf numFmtId="0" fontId="3" fillId="0" borderId="0" xfId="0" applyFont="1" applyProtection="1"/>
    <xf numFmtId="0" fontId="3" fillId="0" borderId="0" xfId="0" applyFont="1"/>
    <xf numFmtId="166" fontId="3" fillId="0" borderId="0" xfId="76" applyFont="1" applyFill="1" applyProtection="1"/>
    <xf numFmtId="2" fontId="3" fillId="0" borderId="0" xfId="76" applyNumberFormat="1" applyFont="1"/>
    <xf numFmtId="166" fontId="5" fillId="0" borderId="0" xfId="76" applyFont="1" applyFill="1" applyBorder="1" applyAlignment="1" applyProtection="1"/>
    <xf numFmtId="166" fontId="80" fillId="0" borderId="0" xfId="76" applyFont="1" applyFill="1" applyAlignment="1" applyProtection="1">
      <alignment horizontal="left"/>
    </xf>
    <xf numFmtId="166" fontId="5" fillId="0" borderId="0" xfId="76" applyFont="1" applyFill="1" applyProtection="1"/>
    <xf numFmtId="166" fontId="55" fillId="0" borderId="34" xfId="76" applyFont="1" applyFill="1" applyBorder="1" applyAlignment="1" applyProtection="1">
      <alignment horizontal="center"/>
    </xf>
    <xf numFmtId="166" fontId="57" fillId="0" borderId="52" xfId="76" applyFont="1" applyFill="1" applyBorder="1" applyAlignment="1" applyProtection="1">
      <alignment horizontal="center" vertical="center"/>
    </xf>
    <xf numFmtId="166" fontId="57" fillId="0" borderId="29" xfId="76" applyFont="1" applyFill="1" applyBorder="1" applyAlignment="1" applyProtection="1">
      <alignment horizontal="center" vertical="center"/>
    </xf>
    <xf numFmtId="166" fontId="57" fillId="0" borderId="45" xfId="76" applyFont="1" applyFill="1" applyBorder="1" applyAlignment="1" applyProtection="1">
      <alignment horizontal="center" vertical="center"/>
    </xf>
    <xf numFmtId="166" fontId="57" fillId="0" borderId="45" xfId="76" applyFont="1" applyFill="1" applyBorder="1" applyAlignment="1" applyProtection="1">
      <alignment horizontal="center" vertical="center"/>
      <protection locked="0"/>
    </xf>
    <xf numFmtId="166" fontId="57" fillId="0" borderId="53" xfId="76" applyFont="1" applyFill="1" applyBorder="1" applyAlignment="1" applyProtection="1">
      <alignment horizontal="center" vertical="center"/>
      <protection locked="0"/>
    </xf>
    <xf numFmtId="166" fontId="57" fillId="0" borderId="46" xfId="76" applyFont="1" applyFill="1" applyBorder="1" applyAlignment="1" applyProtection="1">
      <alignment horizontal="center" vertical="center"/>
    </xf>
    <xf numFmtId="166" fontId="22" fillId="0" borderId="0" xfId="76" applyFont="1" applyFill="1" applyProtection="1"/>
    <xf numFmtId="166" fontId="3" fillId="0" borderId="0" xfId="76" applyFont="1" applyFill="1" applyBorder="1" applyProtection="1"/>
    <xf numFmtId="4" fontId="3" fillId="27" borderId="6" xfId="76" applyNumberFormat="1" applyFont="1" applyFill="1" applyBorder="1" applyAlignment="1" applyProtection="1">
      <alignment vertical="center"/>
      <protection locked="0"/>
    </xf>
    <xf numFmtId="4" fontId="3" fillId="27" borderId="16" xfId="76" applyNumberFormat="1" applyFont="1" applyFill="1" applyBorder="1" applyAlignment="1" applyProtection="1">
      <alignment vertical="center"/>
      <protection locked="0"/>
    </xf>
    <xf numFmtId="168" fontId="3" fillId="27" borderId="6" xfId="76" applyNumberFormat="1" applyFont="1" applyFill="1" applyBorder="1" applyAlignment="1" applyProtection="1">
      <alignment vertical="center"/>
    </xf>
    <xf numFmtId="166" fontId="3" fillId="0" borderId="6" xfId="76" quotePrefix="1" applyFont="1" applyFill="1" applyBorder="1" applyAlignment="1" applyProtection="1">
      <alignment horizontal="center" vertical="center"/>
    </xf>
    <xf numFmtId="168" fontId="3" fillId="27" borderId="47" xfId="76" applyNumberFormat="1" applyFont="1" applyFill="1" applyBorder="1" applyAlignment="1" applyProtection="1">
      <alignment vertical="center"/>
    </xf>
    <xf numFmtId="166" fontId="3" fillId="0" borderId="6" xfId="76" applyFont="1" applyFill="1" applyBorder="1" applyAlignment="1" applyProtection="1">
      <alignment horizontal="center" vertical="center"/>
    </xf>
    <xf numFmtId="166" fontId="58" fillId="0" borderId="0" xfId="76" applyFont="1" applyFill="1" applyAlignment="1" applyProtection="1">
      <alignment vertical="center"/>
    </xf>
    <xf numFmtId="166" fontId="57" fillId="0" borderId="0" xfId="76" applyFont="1" applyFill="1" applyAlignment="1" applyProtection="1">
      <alignment vertical="center"/>
    </xf>
    <xf numFmtId="166" fontId="3" fillId="0" borderId="0" xfId="76" applyFont="1" applyFill="1" applyBorder="1" applyAlignment="1" applyProtection="1">
      <alignment horizontal="center"/>
    </xf>
    <xf numFmtId="4" fontId="3" fillId="27" borderId="54" xfId="76" applyNumberFormat="1" applyFont="1" applyFill="1" applyBorder="1" applyAlignment="1" applyProtection="1">
      <alignment vertical="center"/>
      <protection locked="0"/>
    </xf>
    <xf numFmtId="4" fontId="3" fillId="27" borderId="31" xfId="76" applyNumberFormat="1" applyFont="1" applyFill="1" applyBorder="1" applyAlignment="1" applyProtection="1">
      <alignment vertical="center"/>
      <protection locked="0"/>
    </xf>
    <xf numFmtId="168" fontId="3" fillId="27" borderId="54" xfId="76" applyNumberFormat="1" applyFont="1" applyFill="1" applyBorder="1" applyAlignment="1" applyProtection="1">
      <alignment vertical="center"/>
    </xf>
    <xf numFmtId="166" fontId="3" fillId="0" borderId="54" xfId="76" applyFont="1" applyFill="1" applyBorder="1" applyAlignment="1" applyProtection="1">
      <alignment horizontal="center" vertical="center"/>
    </xf>
    <xf numFmtId="168" fontId="3" fillId="27" borderId="48" xfId="76" applyNumberFormat="1" applyFont="1" applyFill="1" applyBorder="1" applyAlignment="1" applyProtection="1">
      <alignment vertical="center"/>
    </xf>
    <xf numFmtId="166" fontId="5" fillId="0" borderId="0" xfId="76" applyFont="1" applyFill="1" applyAlignment="1" applyProtection="1">
      <alignment horizontal="right"/>
    </xf>
    <xf numFmtId="2" fontId="5" fillId="27" borderId="51" xfId="76" applyNumberFormat="1" applyFont="1" applyFill="1" applyBorder="1" applyAlignment="1" applyProtection="1">
      <alignment vertical="center"/>
    </xf>
    <xf numFmtId="4" fontId="5" fillId="27" borderId="19" xfId="76" applyNumberFormat="1" applyFont="1" applyFill="1" applyBorder="1" applyProtection="1">
      <protection locked="0"/>
    </xf>
    <xf numFmtId="4" fontId="5" fillId="27" borderId="0" xfId="76" applyNumberFormat="1" applyFont="1" applyFill="1" applyBorder="1" applyProtection="1">
      <protection locked="0"/>
    </xf>
    <xf numFmtId="166" fontId="5" fillId="0" borderId="0" xfId="76" applyFont="1" applyFill="1" applyAlignment="1" applyProtection="1">
      <alignment horizontal="center"/>
    </xf>
    <xf numFmtId="166" fontId="3" fillId="27" borderId="51" xfId="76" quotePrefix="1" applyNumberFormat="1" applyFont="1" applyFill="1" applyBorder="1" applyAlignment="1" applyProtection="1">
      <alignment horizontal="center" vertical="center"/>
    </xf>
    <xf numFmtId="4" fontId="3" fillId="0" borderId="0" xfId="76" applyNumberFormat="1" applyFont="1" applyFill="1" applyProtection="1"/>
    <xf numFmtId="4" fontId="3" fillId="0" borderId="0" xfId="76" applyNumberFormat="1" applyFont="1" applyFill="1" applyProtection="1">
      <protection locked="0"/>
    </xf>
    <xf numFmtId="4" fontId="57" fillId="0" borderId="0" xfId="76" applyNumberFormat="1" applyFont="1" applyFill="1" applyAlignment="1" applyProtection="1">
      <alignment horizontal="center"/>
      <protection locked="0"/>
    </xf>
    <xf numFmtId="166" fontId="22" fillId="0" borderId="0" xfId="76" applyFont="1" applyFill="1" applyBorder="1" applyAlignment="1" applyProtection="1">
      <alignment vertical="center"/>
    </xf>
    <xf numFmtId="166" fontId="57" fillId="0" borderId="53" xfId="76" applyFont="1" applyFill="1" applyBorder="1" applyAlignment="1" applyProtection="1">
      <alignment horizontal="center" vertical="center"/>
    </xf>
    <xf numFmtId="4" fontId="57" fillId="0" borderId="45" xfId="76" applyNumberFormat="1" applyFont="1" applyFill="1" applyBorder="1" applyAlignment="1" applyProtection="1">
      <alignment horizontal="center" vertical="center"/>
    </xf>
    <xf numFmtId="4" fontId="5" fillId="0" borderId="45" xfId="76" applyNumberFormat="1" applyFont="1" applyFill="1" applyBorder="1" applyAlignment="1" applyProtection="1">
      <alignment vertical="center"/>
    </xf>
    <xf numFmtId="4" fontId="57" fillId="0" borderId="55" xfId="76" applyNumberFormat="1" applyFont="1" applyFill="1" applyBorder="1" applyAlignment="1" applyProtection="1">
      <alignment vertical="center"/>
    </xf>
    <xf numFmtId="4" fontId="3" fillId="28" borderId="37" xfId="76" applyNumberFormat="1" applyFont="1" applyFill="1" applyBorder="1" applyAlignment="1" applyProtection="1">
      <alignment vertical="center"/>
      <protection locked="0"/>
    </xf>
    <xf numFmtId="4" fontId="3" fillId="27" borderId="34" xfId="76" applyNumberFormat="1" applyFont="1" applyFill="1" applyBorder="1" applyAlignment="1" applyProtection="1">
      <alignment vertical="center"/>
      <protection locked="0"/>
    </xf>
    <xf numFmtId="166" fontId="3" fillId="27" borderId="6" xfId="76" applyFont="1" applyFill="1" applyBorder="1" applyAlignment="1" applyProtection="1">
      <alignment horizontal="center" vertical="center"/>
    </xf>
    <xf numFmtId="168" fontId="57" fillId="27" borderId="6" xfId="76" applyNumberFormat="1" applyFont="1" applyFill="1" applyBorder="1" applyAlignment="1" applyProtection="1">
      <alignment horizontal="center" vertical="center"/>
    </xf>
    <xf numFmtId="49" fontId="3" fillId="27" borderId="47" xfId="76" applyNumberFormat="1" applyFont="1" applyFill="1" applyBorder="1" applyAlignment="1" applyProtection="1">
      <alignment horizontal="center" vertical="center"/>
    </xf>
    <xf numFmtId="166" fontId="3" fillId="0" borderId="34" xfId="76" applyFont="1" applyFill="1" applyBorder="1" applyAlignment="1" applyProtection="1">
      <alignment vertical="center"/>
    </xf>
    <xf numFmtId="169" fontId="3" fillId="0" borderId="34" xfId="76" applyNumberFormat="1" applyFont="1" applyFill="1" applyBorder="1" applyAlignment="1" applyProtection="1">
      <alignment horizontal="right" vertical="center"/>
    </xf>
    <xf numFmtId="169" fontId="3" fillId="0" borderId="47" xfId="76" applyNumberFormat="1" applyFont="1" applyFill="1" applyBorder="1" applyAlignment="1" applyProtection="1">
      <alignment horizontal="right" vertical="center"/>
    </xf>
    <xf numFmtId="4" fontId="3" fillId="28" borderId="6" xfId="76" applyNumberFormat="1" applyFont="1" applyFill="1" applyBorder="1" applyAlignment="1" applyProtection="1">
      <alignment vertical="center"/>
      <protection locked="0"/>
    </xf>
    <xf numFmtId="166" fontId="3" fillId="27" borderId="47" xfId="76" applyFont="1" applyFill="1" applyBorder="1" applyAlignment="1" applyProtection="1">
      <alignment horizontal="center" vertical="center"/>
    </xf>
    <xf numFmtId="169" fontId="3" fillId="0" borderId="6" xfId="76" quotePrefix="1" applyNumberFormat="1" applyFont="1" applyFill="1" applyBorder="1" applyAlignment="1" applyProtection="1">
      <alignment horizontal="right" vertical="center"/>
    </xf>
    <xf numFmtId="169" fontId="5" fillId="0" borderId="0" xfId="76" applyNumberFormat="1" applyFont="1" applyFill="1" applyBorder="1" applyAlignment="1" applyProtection="1">
      <alignment horizontal="right"/>
    </xf>
    <xf numFmtId="2" fontId="3" fillId="0" borderId="6" xfId="76" applyNumberFormat="1" applyFont="1" applyFill="1" applyBorder="1" applyAlignment="1" applyProtection="1">
      <alignment vertical="center"/>
      <protection hidden="1"/>
    </xf>
    <xf numFmtId="166" fontId="3" fillId="0" borderId="36" xfId="76" applyFont="1" applyFill="1" applyBorder="1" applyAlignment="1" applyProtection="1">
      <alignment vertical="center"/>
    </xf>
    <xf numFmtId="169" fontId="3" fillId="0" borderId="36" xfId="76" applyNumberFormat="1" applyFont="1" applyFill="1" applyBorder="1" applyAlignment="1" applyProtection="1">
      <alignment horizontal="right" vertical="center"/>
    </xf>
    <xf numFmtId="169" fontId="3" fillId="0" borderId="56" xfId="76" applyNumberFormat="1" applyFont="1" applyFill="1" applyBorder="1" applyAlignment="1" applyProtection="1">
      <alignment horizontal="right" vertical="center"/>
    </xf>
    <xf numFmtId="169" fontId="5" fillId="0" borderId="0" xfId="76" applyNumberFormat="1" applyFont="1" applyFill="1" applyAlignment="1" applyProtection="1">
      <alignment horizontal="right"/>
    </xf>
    <xf numFmtId="166" fontId="3" fillId="27" borderId="54" xfId="76" applyFont="1" applyFill="1" applyBorder="1" applyAlignment="1" applyProtection="1">
      <alignment horizontal="center" vertical="center"/>
    </xf>
    <xf numFmtId="168" fontId="57" fillId="27" borderId="54" xfId="76" applyNumberFormat="1" applyFont="1" applyFill="1" applyBorder="1" applyAlignment="1" applyProtection="1">
      <alignment horizontal="center" vertical="center"/>
    </xf>
    <xf numFmtId="166" fontId="3" fillId="27" borderId="48" xfId="76" applyFont="1" applyFill="1" applyBorder="1" applyAlignment="1" applyProtection="1">
      <alignment horizontal="center" vertical="center"/>
    </xf>
    <xf numFmtId="4" fontId="3" fillId="28" borderId="21" xfId="76" applyNumberFormat="1" applyFont="1" applyFill="1" applyBorder="1" applyAlignment="1" applyProtection="1">
      <alignment vertical="center"/>
      <protection locked="0"/>
    </xf>
    <xf numFmtId="4" fontId="3" fillId="27" borderId="0" xfId="76" applyNumberFormat="1" applyFont="1" applyFill="1" applyAlignment="1" applyProtection="1">
      <alignment vertical="center"/>
      <protection locked="0"/>
    </xf>
    <xf numFmtId="166" fontId="5" fillId="0" borderId="0" xfId="76" applyFont="1" applyFill="1" applyAlignment="1" applyProtection="1">
      <alignment horizontal="center" vertical="center"/>
    </xf>
    <xf numFmtId="166" fontId="3" fillId="27" borderId="51" xfId="76" applyFont="1" applyFill="1" applyBorder="1" applyAlignment="1" applyProtection="1">
      <alignment horizontal="center" vertical="center"/>
    </xf>
    <xf numFmtId="166" fontId="5" fillId="0" borderId="0" xfId="76" applyFont="1" applyFill="1" applyAlignment="1" applyProtection="1">
      <alignment horizontal="right" vertical="center"/>
    </xf>
    <xf numFmtId="4" fontId="5" fillId="27" borderId="50" xfId="76" applyNumberFormat="1" applyFont="1" applyFill="1" applyBorder="1" applyAlignment="1" applyProtection="1">
      <alignment vertical="center"/>
    </xf>
    <xf numFmtId="4" fontId="5" fillId="27" borderId="0" xfId="76" applyNumberFormat="1" applyFont="1" applyFill="1" applyAlignment="1" applyProtection="1">
      <alignment vertical="center"/>
    </xf>
    <xf numFmtId="4" fontId="3" fillId="27" borderId="57" xfId="76" applyNumberFormat="1" applyFont="1" applyFill="1" applyBorder="1" applyAlignment="1" applyProtection="1">
      <alignment vertical="center"/>
    </xf>
    <xf numFmtId="166" fontId="3" fillId="0" borderId="58" xfId="76" applyFont="1" applyFill="1" applyBorder="1" applyAlignment="1" applyProtection="1">
      <alignment vertical="center"/>
    </xf>
    <xf numFmtId="169" fontId="3" fillId="0" borderId="58" xfId="76" applyNumberFormat="1" applyFont="1" applyFill="1" applyBorder="1" applyAlignment="1" applyProtection="1">
      <alignment horizontal="right" vertical="center"/>
    </xf>
    <xf numFmtId="169" fontId="3" fillId="0" borderId="59" xfId="76" applyNumberFormat="1" applyFont="1" applyFill="1" applyBorder="1" applyAlignment="1" applyProtection="1">
      <alignment horizontal="right" vertical="center"/>
    </xf>
    <xf numFmtId="4" fontId="57" fillId="0" borderId="0" xfId="76" applyNumberFormat="1" applyFont="1" applyFill="1" applyAlignment="1" applyProtection="1">
      <alignment horizontal="center" vertical="center"/>
    </xf>
    <xf numFmtId="166" fontId="3" fillId="0" borderId="0" xfId="76" applyFont="1" applyAlignment="1" applyProtection="1">
      <alignment vertical="center"/>
    </xf>
    <xf numFmtId="166" fontId="80" fillId="0" borderId="0" xfId="76" applyFont="1" applyFill="1" applyAlignment="1" applyProtection="1">
      <alignment horizontal="left" vertical="center"/>
    </xf>
    <xf numFmtId="166" fontId="56" fillId="0" borderId="0" xfId="76" applyFont="1" applyFill="1" applyAlignment="1" applyProtection="1">
      <alignment horizontal="centerContinuous" vertical="center"/>
      <protection locked="0"/>
    </xf>
    <xf numFmtId="169" fontId="5" fillId="0" borderId="0" xfId="76" applyNumberFormat="1" applyFont="1" applyFill="1" applyBorder="1" applyAlignment="1" applyProtection="1">
      <alignment horizontal="right" vertical="center"/>
    </xf>
    <xf numFmtId="166" fontId="3" fillId="27" borderId="39" xfId="76" applyFont="1" applyFill="1" applyBorder="1" applyAlignment="1" applyProtection="1">
      <alignment horizontal="center" vertical="center"/>
    </xf>
    <xf numFmtId="166" fontId="57" fillId="27" borderId="6" xfId="76" applyFont="1" applyFill="1" applyBorder="1" applyAlignment="1" applyProtection="1">
      <alignment horizontal="center" vertical="center"/>
    </xf>
    <xf numFmtId="166" fontId="3" fillId="27" borderId="47" xfId="76" quotePrefix="1" applyFont="1" applyFill="1" applyBorder="1" applyAlignment="1" applyProtection="1">
      <alignment horizontal="center" vertical="center"/>
    </xf>
    <xf numFmtId="166" fontId="3" fillId="27" borderId="60" xfId="76" applyFont="1" applyFill="1" applyBorder="1" applyAlignment="1" applyProtection="1">
      <alignment horizontal="right" vertical="center"/>
    </xf>
    <xf numFmtId="166" fontId="3" fillId="27" borderId="61" xfId="76" applyFont="1" applyFill="1" applyBorder="1" applyAlignment="1" applyProtection="1">
      <alignment horizontal="right" vertical="center"/>
    </xf>
    <xf numFmtId="166" fontId="22" fillId="27" borderId="62" xfId="76" applyFont="1" applyFill="1" applyBorder="1" applyAlignment="1" applyProtection="1">
      <alignment horizontal="right" vertical="center"/>
    </xf>
    <xf numFmtId="166" fontId="3" fillId="27" borderId="63" xfId="76" applyFont="1" applyFill="1" applyBorder="1" applyAlignment="1" applyProtection="1">
      <alignment horizontal="right" vertical="center"/>
    </xf>
    <xf numFmtId="166" fontId="57" fillId="27" borderId="54" xfId="76" applyFont="1" applyFill="1" applyBorder="1" applyAlignment="1" applyProtection="1">
      <alignment horizontal="center" vertical="center"/>
    </xf>
    <xf numFmtId="4" fontId="57" fillId="27" borderId="0" xfId="76" applyNumberFormat="1" applyFont="1" applyFill="1" applyAlignment="1" applyProtection="1">
      <alignment horizontal="center" vertical="center"/>
    </xf>
    <xf numFmtId="166" fontId="55" fillId="27" borderId="51" xfId="76" applyNumberFormat="1" applyFont="1" applyFill="1" applyBorder="1" applyAlignment="1" applyProtection="1">
      <alignment horizontal="center" vertical="center"/>
    </xf>
    <xf numFmtId="1" fontId="3" fillId="0" borderId="0" xfId="76" applyNumberFormat="1" applyFont="1" applyFill="1" applyAlignment="1" applyProtection="1">
      <alignment vertical="center"/>
    </xf>
    <xf numFmtId="4" fontId="3" fillId="27" borderId="21" xfId="76" applyNumberFormat="1" applyFont="1" applyFill="1" applyBorder="1" applyAlignment="1" applyProtection="1">
      <alignment vertical="center"/>
    </xf>
    <xf numFmtId="4" fontId="5" fillId="28" borderId="21" xfId="76" applyNumberFormat="1" applyFont="1" applyFill="1" applyBorder="1" applyAlignment="1" applyProtection="1">
      <alignment vertical="center"/>
    </xf>
    <xf numFmtId="166" fontId="3" fillId="27" borderId="51" xfId="76" applyFont="1" applyFill="1" applyBorder="1" applyAlignment="1" applyProtection="1">
      <alignment horizontal="center" vertical="center"/>
      <protection hidden="1"/>
    </xf>
    <xf numFmtId="166" fontId="3" fillId="27" borderId="0" xfId="76" applyFont="1" applyFill="1" applyAlignment="1" applyProtection="1">
      <alignment vertical="center"/>
    </xf>
    <xf numFmtId="166" fontId="83" fillId="0" borderId="0" xfId="76" applyFont="1" applyFill="1" applyProtection="1"/>
    <xf numFmtId="166" fontId="80" fillId="0" borderId="0" xfId="76" applyFont="1" applyFill="1" applyAlignment="1" applyProtection="1">
      <alignment vertical="center"/>
    </xf>
    <xf numFmtId="166" fontId="5" fillId="27" borderId="0" xfId="76" applyFont="1" applyFill="1" applyAlignment="1" applyProtection="1">
      <alignment vertical="center"/>
    </xf>
    <xf numFmtId="166" fontId="5" fillId="0" borderId="4" xfId="76" applyFont="1" applyFill="1" applyBorder="1" applyAlignment="1" applyProtection="1">
      <alignment vertical="center"/>
    </xf>
    <xf numFmtId="166" fontId="3" fillId="0" borderId="64" xfId="76" applyFont="1" applyFill="1" applyBorder="1" applyAlignment="1" applyProtection="1">
      <alignment horizontal="right" vertical="center"/>
    </xf>
    <xf numFmtId="166" fontId="5" fillId="0" borderId="16" xfId="76" applyFont="1" applyFill="1" applyBorder="1" applyAlignment="1" applyProtection="1">
      <alignment vertical="center"/>
    </xf>
    <xf numFmtId="166" fontId="83" fillId="0" borderId="0" xfId="76" applyFont="1" applyFill="1" applyAlignment="1" applyProtection="1">
      <alignment horizontal="left"/>
    </xf>
    <xf numFmtId="177" fontId="3" fillId="27" borderId="47" xfId="76" applyNumberFormat="1" applyFont="1" applyFill="1" applyBorder="1" applyAlignment="1" applyProtection="1">
      <alignment vertical="center"/>
      <protection hidden="1"/>
    </xf>
    <xf numFmtId="8" fontId="3" fillId="0" borderId="27" xfId="76" applyNumberFormat="1" applyFont="1" applyFill="1" applyBorder="1" applyAlignment="1" applyProtection="1">
      <alignment vertical="center"/>
      <protection hidden="1"/>
    </xf>
    <xf numFmtId="177" fontId="3" fillId="27" borderId="57" xfId="76" applyNumberFormat="1" applyFont="1" applyFill="1" applyBorder="1" applyAlignment="1" applyProtection="1">
      <alignment vertical="center"/>
      <protection hidden="1"/>
    </xf>
    <xf numFmtId="166" fontId="60" fillId="0" borderId="0" xfId="76" applyFont="1" applyFill="1"/>
    <xf numFmtId="8" fontId="86" fillId="27" borderId="51" xfId="76" applyNumberFormat="1" applyFont="1" applyFill="1" applyBorder="1" applyAlignment="1" applyProtection="1">
      <alignment horizontal="right" vertical="center"/>
      <protection hidden="1"/>
    </xf>
    <xf numFmtId="166" fontId="5" fillId="0" borderId="0" xfId="76" applyFont="1" applyFill="1" applyAlignment="1">
      <alignment horizontal="right" vertical="center"/>
    </xf>
    <xf numFmtId="166" fontId="5" fillId="0" borderId="0" xfId="76" applyFont="1" applyFill="1" applyAlignment="1" applyProtection="1">
      <alignment horizontal="right" vertical="center"/>
      <protection hidden="1"/>
    </xf>
    <xf numFmtId="166" fontId="55" fillId="0" borderId="34" xfId="76" applyFont="1" applyFill="1" applyBorder="1" applyAlignment="1" applyProtection="1">
      <alignment horizontal="center" vertical="center"/>
      <protection locked="0"/>
    </xf>
    <xf numFmtId="2" fontId="3" fillId="27" borderId="51" xfId="76" applyNumberFormat="1" applyFont="1" applyFill="1" applyBorder="1" applyAlignment="1" applyProtection="1">
      <alignment vertical="center"/>
    </xf>
    <xf numFmtId="4" fontId="5" fillId="27" borderId="19" xfId="76" applyNumberFormat="1" applyFont="1" applyFill="1" applyBorder="1" applyAlignment="1" applyProtection="1">
      <alignment vertical="center"/>
      <protection locked="0"/>
    </xf>
    <xf numFmtId="4" fontId="5" fillId="27" borderId="0" xfId="76" applyNumberFormat="1" applyFont="1" applyFill="1" applyBorder="1" applyAlignment="1" applyProtection="1">
      <alignment vertical="center"/>
      <protection locked="0"/>
    </xf>
    <xf numFmtId="4" fontId="3" fillId="0" borderId="0" xfId="76" applyNumberFormat="1" applyFont="1" applyFill="1" applyAlignment="1" applyProtection="1">
      <alignment vertical="center"/>
    </xf>
    <xf numFmtId="4" fontId="5" fillId="0" borderId="45" xfId="76" applyNumberFormat="1" applyFont="1" applyFill="1" applyBorder="1" applyAlignment="1" applyProtection="1">
      <alignment horizontal="center" vertical="center"/>
    </xf>
    <xf numFmtId="4" fontId="57" fillId="0" borderId="55" xfId="76" applyNumberFormat="1" applyFont="1" applyFill="1" applyBorder="1" applyAlignment="1" applyProtection="1">
      <alignment horizontal="center" vertical="center"/>
    </xf>
    <xf numFmtId="4" fontId="5" fillId="0" borderId="37" xfId="76" applyNumberFormat="1" applyFont="1" applyFill="1" applyBorder="1" applyAlignment="1" applyProtection="1">
      <alignment vertical="center"/>
    </xf>
    <xf numFmtId="166" fontId="3" fillId="0" borderId="45" xfId="76" applyFont="1" applyFill="1" applyBorder="1" applyAlignment="1" applyProtection="1">
      <alignment vertical="center"/>
    </xf>
    <xf numFmtId="4" fontId="3" fillId="0" borderId="29" xfId="76" applyNumberFormat="1" applyFont="1" applyFill="1" applyBorder="1" applyAlignment="1" applyProtection="1">
      <alignment horizontal="center" vertical="center"/>
    </xf>
    <xf numFmtId="4" fontId="3" fillId="0" borderId="55" xfId="76" applyNumberFormat="1" applyFont="1" applyFill="1" applyBorder="1" applyAlignment="1" applyProtection="1">
      <alignment horizontal="center" vertical="center"/>
    </xf>
    <xf numFmtId="166" fontId="57" fillId="0" borderId="45" xfId="76" applyFont="1" applyFill="1" applyBorder="1" applyAlignment="1" applyProtection="1">
      <alignment vertical="center"/>
    </xf>
    <xf numFmtId="166" fontId="57" fillId="0" borderId="46" xfId="76" applyFont="1" applyFill="1" applyBorder="1" applyAlignment="1" applyProtection="1">
      <alignment vertical="center"/>
    </xf>
    <xf numFmtId="4" fontId="5" fillId="28" borderId="6" xfId="76" applyNumberFormat="1" applyFont="1" applyFill="1" applyBorder="1" applyAlignment="1" applyProtection="1">
      <alignment vertical="center"/>
      <protection locked="0"/>
    </xf>
    <xf numFmtId="4" fontId="5" fillId="27" borderId="34" xfId="76" applyNumberFormat="1" applyFont="1" applyFill="1" applyBorder="1" applyAlignment="1" applyProtection="1">
      <alignment vertical="center"/>
      <protection locked="0"/>
    </xf>
    <xf numFmtId="4" fontId="3" fillId="27" borderId="6" xfId="76" applyNumberFormat="1" applyFont="1" applyFill="1" applyBorder="1" applyAlignment="1" applyProtection="1">
      <alignment vertical="center"/>
    </xf>
    <xf numFmtId="4" fontId="3" fillId="27" borderId="37" xfId="76" applyNumberFormat="1" applyFont="1" applyFill="1" applyBorder="1" applyAlignment="1" applyProtection="1">
      <alignment vertical="center"/>
    </xf>
    <xf numFmtId="4" fontId="5" fillId="27" borderId="33" xfId="76" applyNumberFormat="1" applyFont="1" applyFill="1" applyBorder="1" applyAlignment="1" applyProtection="1">
      <alignment vertical="center"/>
      <protection locked="0"/>
    </xf>
    <xf numFmtId="4" fontId="5" fillId="0" borderId="54" xfId="76" applyNumberFormat="1" applyFont="1" applyFill="1" applyBorder="1" applyAlignment="1" applyProtection="1">
      <alignment vertical="center"/>
    </xf>
    <xf numFmtId="4" fontId="5" fillId="27" borderId="0" xfId="76" applyNumberFormat="1" applyFont="1" applyFill="1" applyAlignment="1" applyProtection="1">
      <alignment vertical="center"/>
      <protection locked="0"/>
    </xf>
    <xf numFmtId="166" fontId="3" fillId="27" borderId="43" xfId="76" applyFont="1" applyFill="1" applyBorder="1" applyAlignment="1" applyProtection="1">
      <alignment horizontal="center" vertical="center"/>
    </xf>
    <xf numFmtId="4" fontId="57" fillId="27" borderId="0" xfId="76" applyNumberFormat="1" applyFont="1" applyFill="1" applyAlignment="1" applyProtection="1">
      <alignment horizontal="center" vertical="center"/>
      <protection locked="0"/>
    </xf>
    <xf numFmtId="4" fontId="3" fillId="27" borderId="21" xfId="76" applyNumberFormat="1" applyFont="1" applyFill="1" applyBorder="1" applyAlignment="1" applyProtection="1">
      <alignment vertical="center"/>
      <protection locked="0"/>
    </xf>
    <xf numFmtId="166" fontId="22" fillId="30" borderId="65" xfId="76" applyFont="1" applyFill="1" applyBorder="1" applyAlignment="1" applyProtection="1">
      <alignment horizontal="center" vertical="center"/>
    </xf>
    <xf numFmtId="166" fontId="22" fillId="30" borderId="65" xfId="76" applyFont="1" applyFill="1" applyBorder="1" applyAlignment="1" applyProtection="1">
      <alignment horizontal="center" vertical="center"/>
    </xf>
    <xf numFmtId="4" fontId="3" fillId="27" borderId="51" xfId="76" applyNumberFormat="1" applyFont="1" applyFill="1" applyBorder="1" applyAlignment="1" applyProtection="1">
      <alignment vertical="center"/>
    </xf>
    <xf numFmtId="4" fontId="3" fillId="30" borderId="51" xfId="76" applyNumberFormat="1" applyFont="1" applyFill="1" applyBorder="1" applyAlignment="1" applyProtection="1">
      <alignment vertical="center"/>
      <protection hidden="1"/>
    </xf>
    <xf numFmtId="166" fontId="22" fillId="27" borderId="0" xfId="76" applyFont="1" applyFill="1" applyAlignment="1" applyProtection="1">
      <alignment vertical="center"/>
    </xf>
    <xf numFmtId="166" fontId="3" fillId="0" borderId="54" xfId="76" applyFont="1" applyFill="1" applyBorder="1" applyAlignment="1" applyProtection="1">
      <alignment vertical="center"/>
    </xf>
    <xf numFmtId="3" fontId="5" fillId="0" borderId="0" xfId="76" applyNumberFormat="1" applyFont="1" applyFill="1" applyAlignment="1" applyProtection="1">
      <alignment horizontal="right" vertical="center"/>
    </xf>
    <xf numFmtId="3" fontId="5" fillId="0" borderId="0" xfId="76" applyNumberFormat="1" applyFont="1" applyFill="1" applyBorder="1" applyAlignment="1" applyProtection="1">
      <alignment horizontal="right" vertical="center"/>
    </xf>
    <xf numFmtId="166" fontId="3" fillId="0" borderId="0" xfId="76" applyFont="1" applyFill="1" applyBorder="1" applyAlignment="1" applyProtection="1">
      <alignment vertical="center"/>
      <protection locked="0"/>
    </xf>
    <xf numFmtId="40" fontId="5" fillId="0" borderId="0" xfId="76" applyNumberFormat="1" applyFont="1" applyFill="1" applyAlignment="1" applyProtection="1">
      <alignment horizontal="right" vertical="center"/>
    </xf>
    <xf numFmtId="166" fontId="5" fillId="0" borderId="0" xfId="76" applyFont="1" applyFill="1" applyAlignment="1" applyProtection="1">
      <alignment vertical="center"/>
      <protection locked="0"/>
    </xf>
    <xf numFmtId="166" fontId="83" fillId="0" borderId="30" xfId="76" applyFont="1" applyFill="1" applyBorder="1" applyAlignment="1" applyProtection="1">
      <alignment vertical="center"/>
    </xf>
    <xf numFmtId="166" fontId="5" fillId="0" borderId="13" xfId="76" applyFont="1" applyFill="1" applyBorder="1" applyAlignment="1" applyProtection="1">
      <alignment vertical="center"/>
    </xf>
    <xf numFmtId="166" fontId="61" fillId="0" borderId="0" xfId="76" applyFont="1" applyFill="1" applyBorder="1" applyAlignment="1" applyProtection="1">
      <alignment vertical="center"/>
      <protection locked="0"/>
    </xf>
    <xf numFmtId="166" fontId="61" fillId="0" borderId="4" xfId="76" applyFont="1" applyFill="1" applyBorder="1" applyAlignment="1" applyProtection="1">
      <alignment vertical="center"/>
    </xf>
    <xf numFmtId="166" fontId="61" fillId="0" borderId="0" xfId="76" applyFont="1" applyFill="1" applyBorder="1" applyAlignment="1" applyProtection="1">
      <alignment horizontal="right" vertical="center"/>
    </xf>
    <xf numFmtId="166" fontId="12" fillId="0" borderId="0" xfId="76" applyFont="1" applyFill="1" applyAlignment="1" applyProtection="1">
      <alignment vertical="center"/>
    </xf>
    <xf numFmtId="166" fontId="12" fillId="0" borderId="0" xfId="76" applyFont="1" applyFill="1" applyProtection="1"/>
    <xf numFmtId="166" fontId="12" fillId="0" borderId="0" xfId="76" applyFont="1" applyFill="1"/>
    <xf numFmtId="166" fontId="3" fillId="0" borderId="4" xfId="76" applyFont="1" applyFill="1" applyBorder="1" applyAlignment="1" applyProtection="1">
      <alignment vertical="center"/>
    </xf>
    <xf numFmtId="166" fontId="22" fillId="0" borderId="0" xfId="76" applyFont="1" applyFill="1" applyAlignment="1" applyProtection="1">
      <alignment vertical="center"/>
      <protection locked="0"/>
    </xf>
    <xf numFmtId="166" fontId="22" fillId="0" borderId="0" xfId="76" applyFont="1" applyFill="1" applyAlignment="1" applyProtection="1">
      <alignment horizontal="right" vertical="center"/>
    </xf>
    <xf numFmtId="166" fontId="22" fillId="0" borderId="0" xfId="76" applyFont="1" applyFill="1" applyAlignment="1" applyProtection="1">
      <alignment horizontal="center"/>
    </xf>
    <xf numFmtId="166" fontId="3" fillId="0" borderId="0" xfId="76" applyFont="1" applyFill="1" applyAlignment="1" applyProtection="1">
      <alignment horizontal="center" vertical="center"/>
    </xf>
    <xf numFmtId="166" fontId="22" fillId="0" borderId="0" xfId="76" applyFont="1" applyFill="1" applyAlignment="1" applyProtection="1">
      <alignment horizontal="center" vertical="center"/>
    </xf>
    <xf numFmtId="166" fontId="5" fillId="0" borderId="4" xfId="76" applyFont="1" applyFill="1" applyBorder="1" applyAlignment="1" applyProtection="1">
      <alignment horizontal="center" vertical="center"/>
    </xf>
    <xf numFmtId="166" fontId="5" fillId="0" borderId="16" xfId="76" applyFont="1" applyFill="1" applyBorder="1" applyAlignment="1" applyProtection="1">
      <alignment horizontal="center" vertical="center"/>
    </xf>
    <xf numFmtId="172" fontId="3" fillId="27" borderId="51" xfId="79" applyFont="1" applyFill="1" applyBorder="1" applyAlignment="1" applyProtection="1">
      <alignment horizontal="center" vertical="center"/>
    </xf>
    <xf numFmtId="166" fontId="61" fillId="0" borderId="4" xfId="76" applyFont="1" applyFill="1" applyBorder="1" applyAlignment="1" applyProtection="1">
      <alignment horizontal="center" vertical="center"/>
    </xf>
    <xf numFmtId="166" fontId="3" fillId="0" borderId="0" xfId="76" applyFont="1" applyAlignment="1" applyProtection="1">
      <alignment horizontal="center"/>
    </xf>
    <xf numFmtId="166" fontId="55" fillId="0" borderId="34" xfId="76" applyFont="1" applyFill="1" applyBorder="1" applyAlignment="1" applyProtection="1">
      <alignment horizontal="center" vertical="center"/>
    </xf>
    <xf numFmtId="4" fontId="3" fillId="0" borderId="0" xfId="76" applyNumberFormat="1" applyFont="1" applyFill="1" applyAlignment="1" applyProtection="1">
      <alignment vertical="center"/>
      <protection locked="0"/>
    </xf>
    <xf numFmtId="4" fontId="57" fillId="0" borderId="0" xfId="76" applyNumberFormat="1" applyFont="1" applyFill="1" applyAlignment="1" applyProtection="1">
      <alignment horizontal="center" vertical="center"/>
      <protection locked="0"/>
    </xf>
    <xf numFmtId="169" fontId="5" fillId="0" borderId="0" xfId="76" applyNumberFormat="1" applyFont="1" applyFill="1" applyAlignment="1" applyProtection="1">
      <alignment horizontal="right" vertical="center"/>
    </xf>
    <xf numFmtId="166" fontId="5" fillId="27" borderId="51" xfId="76" applyFont="1" applyFill="1" applyBorder="1" applyAlignment="1" applyProtection="1">
      <alignment horizontal="right" vertical="center"/>
    </xf>
    <xf numFmtId="4" fontId="3" fillId="0" borderId="54" xfId="76" applyNumberFormat="1" applyFont="1" applyFill="1" applyBorder="1" applyAlignment="1" applyProtection="1">
      <alignment vertical="center"/>
    </xf>
    <xf numFmtId="2" fontId="5" fillId="27" borderId="47" xfId="76" applyNumberFormat="1" applyFont="1" applyFill="1" applyBorder="1" applyAlignment="1" applyProtection="1">
      <alignment vertical="center"/>
    </xf>
    <xf numFmtId="2" fontId="5" fillId="27" borderId="48" xfId="76" applyNumberFormat="1" applyFont="1" applyFill="1" applyBorder="1" applyAlignment="1" applyProtection="1">
      <alignment vertical="center"/>
    </xf>
    <xf numFmtId="166" fontId="59" fillId="0" borderId="0" xfId="76" applyFont="1" applyFill="1" applyBorder="1" applyAlignment="1" applyProtection="1">
      <alignment horizontal="right" vertical="center"/>
    </xf>
    <xf numFmtId="40" fontId="3" fillId="0" borderId="0" xfId="76" applyNumberFormat="1" applyFont="1" applyFill="1" applyAlignment="1" applyProtection="1">
      <alignment vertical="center"/>
    </xf>
    <xf numFmtId="3" fontId="3" fillId="0" borderId="0" xfId="76" applyNumberFormat="1" applyFont="1" applyFill="1" applyBorder="1" applyAlignment="1" applyProtection="1">
      <alignment vertical="center"/>
    </xf>
    <xf numFmtId="166" fontId="5" fillId="0" borderId="15" xfId="76" applyFont="1" applyFill="1" applyBorder="1" applyAlignment="1" applyProtection="1">
      <alignment vertical="center"/>
    </xf>
    <xf numFmtId="166" fontId="5" fillId="0" borderId="26" xfId="76" applyFont="1" applyFill="1" applyBorder="1" applyAlignment="1" applyProtection="1">
      <alignment vertical="center"/>
    </xf>
    <xf numFmtId="3" fontId="3" fillId="0" borderId="0" xfId="76" applyNumberFormat="1" applyFont="1" applyFill="1" applyAlignment="1" applyProtection="1">
      <alignment vertical="center"/>
    </xf>
    <xf numFmtId="166" fontId="3" fillId="0" borderId="0" xfId="76" applyFont="1" applyFill="1" applyAlignment="1">
      <alignment vertical="center"/>
    </xf>
    <xf numFmtId="166" fontId="20" fillId="0" borderId="0" xfId="76" applyFont="1" applyFill="1" applyBorder="1" applyAlignment="1" applyProtection="1">
      <alignment vertical="center"/>
    </xf>
    <xf numFmtId="166" fontId="60" fillId="0" borderId="0" xfId="76" applyFont="1" applyFill="1" applyAlignment="1" applyProtection="1">
      <alignment vertical="center"/>
    </xf>
    <xf numFmtId="166" fontId="62" fillId="0" borderId="0" xfId="76" applyFont="1" applyFill="1" applyAlignment="1" applyProtection="1">
      <alignment vertical="center"/>
    </xf>
    <xf numFmtId="166" fontId="69" fillId="0" borderId="0" xfId="76" applyFont="1" applyFill="1" applyBorder="1" applyAlignment="1" applyProtection="1">
      <alignment vertical="center"/>
    </xf>
    <xf numFmtId="0" fontId="81" fillId="0" borderId="0" xfId="67" applyFont="1" applyFill="1" applyBorder="1" applyAlignment="1" applyProtection="1">
      <alignment vertical="center" wrapText="1"/>
    </xf>
    <xf numFmtId="0" fontId="3" fillId="0" borderId="14" xfId="67" applyFont="1" applyFill="1" applyBorder="1" applyAlignment="1" applyProtection="1">
      <alignment horizontal="left" vertical="center"/>
    </xf>
    <xf numFmtId="164" fontId="69" fillId="0" borderId="0" xfId="0" applyNumberFormat="1" applyFont="1" applyFill="1" applyBorder="1" applyAlignment="1" applyProtection="1">
      <alignment horizontal="right" vertical="center"/>
    </xf>
    <xf numFmtId="0" fontId="81" fillId="0" borderId="0" xfId="68" applyFont="1" applyFill="1" applyBorder="1" applyAlignment="1" applyProtection="1">
      <alignment horizontal="right" vertical="center"/>
    </xf>
    <xf numFmtId="0" fontId="80" fillId="0" borderId="0" xfId="66" applyFont="1" applyFill="1" applyAlignment="1" applyProtection="1">
      <alignment horizontal="center" vertical="center" wrapText="1"/>
    </xf>
    <xf numFmtId="0" fontId="80" fillId="0" borderId="0" xfId="0" applyFont="1" applyFill="1" applyBorder="1" applyAlignment="1" applyProtection="1">
      <alignment horizontal="center" vertical="center"/>
    </xf>
    <xf numFmtId="0" fontId="72" fillId="0" borderId="0" xfId="66" applyFont="1" applyFill="1" applyAlignment="1" applyProtection="1">
      <alignment horizontal="center" vertical="center" wrapText="1"/>
    </xf>
    <xf numFmtId="0" fontId="3" fillId="0" borderId="0" xfId="67" applyFont="1" applyFill="1" applyBorder="1" applyAlignment="1" applyProtection="1">
      <alignment horizontal="left" vertical="center"/>
    </xf>
    <xf numFmtId="0" fontId="42" fillId="0" borderId="38" xfId="0" applyNumberFormat="1" applyFont="1" applyFill="1" applyBorder="1" applyAlignment="1" applyProtection="1">
      <alignment horizontal="center" vertical="center"/>
    </xf>
    <xf numFmtId="0" fontId="74" fillId="0" borderId="0" xfId="0" applyFont="1" applyFill="1" applyBorder="1" applyAlignment="1" applyProtection="1">
      <alignment vertical="center"/>
    </xf>
    <xf numFmtId="0" fontId="3" fillId="0" borderId="39" xfId="67" applyFont="1" applyFill="1" applyBorder="1" applyAlignment="1" applyProtection="1">
      <alignment vertical="center"/>
    </xf>
    <xf numFmtId="164" fontId="55" fillId="0" borderId="16" xfId="0" applyNumberFormat="1" applyFont="1" applyFill="1" applyBorder="1" applyAlignment="1" applyProtection="1">
      <alignment vertical="center"/>
    </xf>
    <xf numFmtId="0" fontId="0" fillId="0" borderId="16" xfId="0" applyFill="1" applyBorder="1" applyAlignment="1" applyProtection="1">
      <alignment vertical="center"/>
    </xf>
    <xf numFmtId="164" fontId="3" fillId="0" borderId="0" xfId="0" applyNumberFormat="1" applyFont="1" applyFill="1" applyBorder="1" applyAlignment="1" applyProtection="1">
      <alignment vertical="center"/>
    </xf>
    <xf numFmtId="164" fontId="3" fillId="0" borderId="16" xfId="0" applyNumberFormat="1" applyFont="1" applyFill="1" applyBorder="1" applyAlignment="1" applyProtection="1">
      <alignment vertical="center"/>
    </xf>
    <xf numFmtId="0" fontId="42" fillId="0" borderId="4" xfId="0" quotePrefix="1" applyFont="1" applyFill="1" applyBorder="1" applyAlignment="1" applyProtection="1">
      <alignment horizontal="center" vertical="center"/>
    </xf>
    <xf numFmtId="0" fontId="42" fillId="0" borderId="24" xfId="0" applyFont="1" applyFill="1" applyBorder="1" applyAlignment="1" applyProtection="1">
      <alignment horizontal="right" vertical="center"/>
    </xf>
    <xf numFmtId="165" fontId="8" fillId="0" borderId="36" xfId="0" applyNumberFormat="1" applyFont="1" applyFill="1" applyBorder="1" applyAlignment="1" applyProtection="1">
      <alignment vertical="center"/>
    </xf>
    <xf numFmtId="165" fontId="8" fillId="29" borderId="36" xfId="0" applyNumberFormat="1" applyFont="1" applyFill="1" applyBorder="1" applyAlignment="1" applyProtection="1">
      <alignment vertical="center"/>
    </xf>
    <xf numFmtId="165" fontId="8" fillId="0" borderId="23" xfId="0" applyNumberFormat="1" applyFont="1" applyFill="1" applyBorder="1" applyAlignment="1" applyProtection="1">
      <alignment vertical="center"/>
    </xf>
    <xf numFmtId="0" fontId="0" fillId="0" borderId="0" xfId="0" applyProtection="1"/>
    <xf numFmtId="0" fontId="67" fillId="0" borderId="0" xfId="58" applyFont="1" applyFill="1" applyBorder="1" applyAlignment="1" applyProtection="1">
      <alignment vertical="center" wrapText="1"/>
    </xf>
    <xf numFmtId="0" fontId="0" fillId="0" borderId="0" xfId="0" applyBorder="1" applyAlignment="1" applyProtection="1">
      <alignment vertical="center"/>
    </xf>
    <xf numFmtId="0" fontId="0" fillId="0" borderId="0" xfId="0" applyBorder="1" applyAlignment="1" applyProtection="1">
      <alignment horizontal="center" vertical="center"/>
    </xf>
    <xf numFmtId="0" fontId="0" fillId="0" borderId="49" xfId="0" applyBorder="1" applyProtection="1"/>
    <xf numFmtId="0" fontId="0" fillId="0" borderId="38" xfId="0" applyBorder="1" applyProtection="1"/>
    <xf numFmtId="0" fontId="0" fillId="0" borderId="38" xfId="0" applyBorder="1" applyAlignment="1" applyProtection="1">
      <alignment horizontal="center" vertical="center"/>
    </xf>
    <xf numFmtId="0" fontId="0" fillId="0" borderId="49" xfId="0" applyBorder="1" applyAlignment="1" applyProtection="1">
      <alignment horizontal="center" vertical="center"/>
    </xf>
    <xf numFmtId="0" fontId="0" fillId="0" borderId="0" xfId="0" applyBorder="1" applyProtection="1"/>
    <xf numFmtId="0" fontId="0" fillId="31" borderId="14" xfId="0" applyFill="1" applyBorder="1" applyAlignment="1" applyProtection="1">
      <alignment vertical="center"/>
    </xf>
    <xf numFmtId="0" fontId="0" fillId="31" borderId="0" xfId="0" applyFill="1" applyBorder="1" applyAlignment="1" applyProtection="1">
      <alignment vertical="center"/>
    </xf>
    <xf numFmtId="0" fontId="0" fillId="31" borderId="13" xfId="0" applyFill="1" applyBorder="1" applyAlignment="1" applyProtection="1">
      <alignment vertical="center"/>
    </xf>
    <xf numFmtId="0" fontId="0" fillId="31" borderId="14" xfId="0" applyFill="1" applyBorder="1" applyProtection="1"/>
    <xf numFmtId="0" fontId="0" fillId="31" borderId="13" xfId="0" applyFill="1" applyBorder="1" applyProtection="1"/>
    <xf numFmtId="0" fontId="0" fillId="31" borderId="0" xfId="0" applyFill="1" applyBorder="1" applyProtection="1"/>
    <xf numFmtId="0" fontId="0" fillId="31" borderId="17" xfId="0" applyFill="1" applyBorder="1" applyProtection="1"/>
    <xf numFmtId="0" fontId="0" fillId="31" borderId="18" xfId="0" applyFill="1" applyBorder="1" applyProtection="1"/>
    <xf numFmtId="0" fontId="0" fillId="31" borderId="19" xfId="0" applyFill="1" applyBorder="1" applyProtection="1"/>
    <xf numFmtId="0" fontId="0" fillId="0" borderId="24" xfId="0" applyBorder="1" applyProtection="1"/>
    <xf numFmtId="0" fontId="0" fillId="0" borderId="4" xfId="0" applyBorder="1" applyProtection="1"/>
    <xf numFmtId="0" fontId="0" fillId="0" borderId="23" xfId="0" applyBorder="1" applyProtection="1"/>
    <xf numFmtId="0" fontId="0" fillId="0" borderId="25" xfId="0" applyBorder="1" applyProtection="1"/>
    <xf numFmtId="177" fontId="8" fillId="32" borderId="6" xfId="71" applyNumberFormat="1" applyFont="1" applyFill="1" applyBorder="1" applyAlignment="1" applyProtection="1">
      <alignment vertical="center"/>
      <protection locked="0"/>
    </xf>
    <xf numFmtId="177" fontId="3" fillId="32" borderId="6" xfId="71" applyNumberFormat="1" applyFont="1" applyFill="1" applyBorder="1" applyAlignment="1" applyProtection="1">
      <alignment horizontal="center" vertical="center"/>
      <protection locked="0"/>
    </xf>
    <xf numFmtId="167" fontId="8" fillId="32" borderId="6" xfId="0" applyNumberFormat="1" applyFont="1" applyFill="1" applyBorder="1" applyAlignment="1" applyProtection="1">
      <alignment horizontal="right"/>
      <protection locked="0"/>
    </xf>
    <xf numFmtId="177" fontId="8" fillId="32" borderId="6" xfId="71" applyNumberFormat="1" applyFont="1" applyFill="1" applyBorder="1" applyAlignment="1" applyProtection="1">
      <alignment horizontal="center" vertical="center"/>
      <protection locked="0"/>
    </xf>
    <xf numFmtId="176" fontId="8" fillId="32" borderId="6" xfId="71" applyNumberFormat="1" applyFont="1" applyFill="1" applyBorder="1" applyAlignment="1" applyProtection="1">
      <alignment vertical="center"/>
      <protection locked="0"/>
    </xf>
    <xf numFmtId="176" fontId="77" fillId="32" borderId="6" xfId="69" applyNumberFormat="1" applyFont="1" applyFill="1" applyBorder="1" applyAlignment="1" applyProtection="1">
      <alignment vertical="center"/>
      <protection locked="0"/>
    </xf>
    <xf numFmtId="0" fontId="3" fillId="32" borderId="6" xfId="0" applyFont="1" applyFill="1" applyBorder="1" applyAlignment="1" applyProtection="1">
      <alignment horizontal="center" vertical="center"/>
      <protection locked="0"/>
    </xf>
    <xf numFmtId="177" fontId="3" fillId="32" borderId="6" xfId="71" applyNumberFormat="1" applyFont="1" applyFill="1" applyBorder="1" applyAlignment="1" applyProtection="1">
      <alignment vertical="center"/>
      <protection locked="0"/>
    </xf>
    <xf numFmtId="176" fontId="8" fillId="32" borderId="6" xfId="69" applyNumberFormat="1" applyFont="1" applyFill="1" applyBorder="1" applyAlignment="1" applyProtection="1">
      <alignment vertical="center"/>
      <protection locked="0"/>
    </xf>
    <xf numFmtId="179" fontId="8" fillId="32" borderId="6" xfId="69" applyNumberFormat="1" applyFont="1" applyFill="1" applyBorder="1" applyAlignment="1" applyProtection="1">
      <alignment vertical="center"/>
      <protection locked="0"/>
    </xf>
    <xf numFmtId="180" fontId="8" fillId="32" borderId="6" xfId="71" applyNumberFormat="1" applyFont="1" applyFill="1" applyBorder="1" applyAlignment="1" applyProtection="1">
      <alignment vertical="center"/>
      <protection locked="0"/>
    </xf>
    <xf numFmtId="180" fontId="8" fillId="32" borderId="6" xfId="71" quotePrefix="1" applyNumberFormat="1" applyFont="1" applyFill="1" applyBorder="1" applyAlignment="1" applyProtection="1">
      <alignment vertical="center"/>
      <protection locked="0"/>
    </xf>
    <xf numFmtId="176" fontId="3" fillId="32" borderId="6" xfId="71" applyNumberFormat="1" applyFont="1" applyFill="1" applyBorder="1" applyAlignment="1" applyProtection="1">
      <alignment vertical="center"/>
      <protection locked="0"/>
    </xf>
    <xf numFmtId="177" fontId="3" fillId="32" borderId="21" xfId="71" applyNumberFormat="1" applyFont="1" applyFill="1" applyBorder="1" applyAlignment="1" applyProtection="1">
      <alignment vertical="center"/>
      <protection locked="0"/>
    </xf>
    <xf numFmtId="177" fontId="8" fillId="32" borderId="21" xfId="71" applyNumberFormat="1" applyFont="1" applyFill="1" applyBorder="1" applyAlignment="1" applyProtection="1">
      <alignment vertical="center"/>
      <protection locked="0"/>
    </xf>
    <xf numFmtId="1" fontId="3" fillId="32" borderId="6" xfId="76" applyNumberFormat="1" applyFont="1" applyFill="1" applyBorder="1" applyAlignment="1" applyProtection="1">
      <alignment vertical="center"/>
      <protection locked="0"/>
    </xf>
    <xf numFmtId="1" fontId="3" fillId="32" borderId="54" xfId="76" applyNumberFormat="1" applyFont="1" applyFill="1" applyBorder="1" applyAlignment="1" applyProtection="1">
      <alignment vertical="center"/>
      <protection locked="0"/>
    </xf>
    <xf numFmtId="2" fontId="3" fillId="32" borderId="22" xfId="76" applyNumberFormat="1" applyFont="1" applyFill="1" applyBorder="1" applyAlignment="1" applyProtection="1">
      <alignment vertical="center"/>
      <protection locked="0"/>
    </xf>
    <xf numFmtId="2" fontId="3" fillId="32" borderId="49" xfId="76" applyNumberFormat="1" applyFont="1" applyFill="1" applyBorder="1" applyAlignment="1" applyProtection="1">
      <alignment vertical="center"/>
      <protection locked="0"/>
    </xf>
    <xf numFmtId="2" fontId="3" fillId="32" borderId="6" xfId="76" applyNumberFormat="1" applyFont="1" applyFill="1" applyBorder="1" applyAlignment="1" applyProtection="1">
      <alignment vertical="center"/>
      <protection locked="0"/>
    </xf>
    <xf numFmtId="2" fontId="3" fillId="32" borderId="66" xfId="76" applyNumberFormat="1" applyFont="1" applyFill="1" applyBorder="1" applyAlignment="1" applyProtection="1">
      <alignment vertical="center"/>
      <protection locked="0"/>
    </xf>
    <xf numFmtId="166" fontId="59" fillId="32" borderId="44" xfId="76" applyFont="1" applyFill="1" applyBorder="1" applyAlignment="1" applyProtection="1">
      <alignment horizontal="center" vertical="center"/>
      <protection locked="0"/>
    </xf>
    <xf numFmtId="166" fontId="59" fillId="32" borderId="42" xfId="76" applyFont="1" applyFill="1" applyBorder="1" applyAlignment="1" applyProtection="1">
      <alignment horizontal="center" vertical="center"/>
      <protection locked="0"/>
    </xf>
    <xf numFmtId="166" fontId="59" fillId="32" borderId="43" xfId="76" applyFont="1" applyFill="1" applyBorder="1" applyAlignment="1" applyProtection="1">
      <alignment horizontal="center" vertical="center"/>
      <protection locked="0"/>
    </xf>
    <xf numFmtId="177" fontId="3" fillId="32" borderId="47" xfId="71" applyNumberFormat="1" applyFont="1" applyFill="1" applyBorder="1" applyAlignment="1" applyProtection="1">
      <alignment vertical="center"/>
      <protection locked="0"/>
    </xf>
    <xf numFmtId="167" fontId="3" fillId="32" borderId="48" xfId="76" applyNumberFormat="1" applyFont="1" applyFill="1" applyBorder="1" applyAlignment="1" applyProtection="1">
      <alignment vertical="center"/>
      <protection locked="0" hidden="1"/>
    </xf>
    <xf numFmtId="167" fontId="3" fillId="32" borderId="51" xfId="79" applyNumberFormat="1" applyFont="1" applyFill="1" applyBorder="1" applyAlignment="1" applyProtection="1">
      <alignment horizontal="right" vertical="center"/>
      <protection locked="0" hidden="1"/>
    </xf>
    <xf numFmtId="167" fontId="3" fillId="32" borderId="48" xfId="76" applyNumberFormat="1" applyFont="1" applyFill="1" applyBorder="1" applyAlignment="1" applyProtection="1">
      <alignment vertical="center"/>
      <protection locked="0"/>
    </xf>
    <xf numFmtId="167" fontId="3" fillId="32" borderId="51" xfId="79" applyNumberFormat="1" applyFont="1" applyFill="1" applyBorder="1" applyAlignment="1" applyProtection="1">
      <alignment horizontal="right" vertical="center"/>
      <protection locked="0"/>
    </xf>
    <xf numFmtId="2" fontId="5" fillId="32" borderId="47" xfId="76" applyNumberFormat="1" applyFont="1" applyFill="1" applyBorder="1" applyAlignment="1" applyProtection="1">
      <alignment vertical="center"/>
      <protection locked="0"/>
    </xf>
    <xf numFmtId="2" fontId="3" fillId="32" borderId="47" xfId="76" applyNumberFormat="1" applyFont="1" applyFill="1" applyBorder="1" applyAlignment="1" applyProtection="1">
      <alignment vertical="center"/>
      <protection locked="0"/>
    </xf>
    <xf numFmtId="175" fontId="8" fillId="32" borderId="21" xfId="69" applyNumberFormat="1" applyFont="1" applyFill="1" applyBorder="1" applyProtection="1">
      <alignment horizontal="right"/>
      <protection locked="0"/>
    </xf>
    <xf numFmtId="175" fontId="8" fillId="32" borderId="54" xfId="69" applyNumberFormat="1" applyFont="1" applyFill="1" applyBorder="1" applyProtection="1">
      <alignment horizontal="right"/>
      <protection locked="0"/>
    </xf>
    <xf numFmtId="167" fontId="0" fillId="32" borderId="49" xfId="0" applyNumberFormat="1" applyFill="1" applyBorder="1" applyProtection="1">
      <protection locked="0"/>
    </xf>
    <xf numFmtId="167" fontId="0" fillId="32" borderId="25" xfId="0" applyNumberFormat="1" applyFill="1" applyBorder="1" applyProtection="1">
      <protection locked="0"/>
    </xf>
    <xf numFmtId="167" fontId="0" fillId="32" borderId="30" xfId="0" applyNumberFormat="1" applyFill="1" applyBorder="1" applyProtection="1">
      <protection locked="0"/>
    </xf>
    <xf numFmtId="167" fontId="0" fillId="32" borderId="33" xfId="0" applyNumberFormat="1" applyFill="1" applyBorder="1" applyProtection="1">
      <protection locked="0"/>
    </xf>
    <xf numFmtId="167" fontId="0" fillId="32" borderId="24" xfId="0" applyNumberFormat="1" applyFill="1" applyBorder="1" applyProtection="1">
      <protection locked="0"/>
    </xf>
    <xf numFmtId="167" fontId="0" fillId="32" borderId="23" xfId="0" applyNumberFormat="1" applyFill="1" applyBorder="1" applyProtection="1">
      <protection locked="0"/>
    </xf>
    <xf numFmtId="3" fontId="3" fillId="32" borderId="34" xfId="0" applyNumberFormat="1" applyFont="1" applyFill="1" applyBorder="1" applyAlignment="1" applyProtection="1">
      <alignment horizontal="center"/>
      <protection locked="0"/>
    </xf>
    <xf numFmtId="3" fontId="3" fillId="32" borderId="36" xfId="0" applyNumberFormat="1" applyFont="1" applyFill="1" applyBorder="1" applyAlignment="1" applyProtection="1">
      <alignment horizontal="center"/>
      <protection locked="0"/>
    </xf>
    <xf numFmtId="167" fontId="0" fillId="32" borderId="34" xfId="0" applyNumberFormat="1" applyFill="1" applyBorder="1" applyAlignment="1" applyProtection="1">
      <alignment horizontal="center"/>
      <protection locked="0"/>
    </xf>
    <xf numFmtId="167" fontId="0" fillId="32" borderId="36" xfId="0" applyNumberFormat="1" applyFill="1" applyBorder="1" applyAlignment="1" applyProtection="1">
      <alignment horizontal="center"/>
      <protection locked="0"/>
    </xf>
    <xf numFmtId="9" fontId="0" fillId="32" borderId="6" xfId="0" applyNumberFormat="1" applyFill="1" applyBorder="1" applyAlignment="1" applyProtection="1">
      <alignment horizontal="center"/>
      <protection locked="0"/>
    </xf>
    <xf numFmtId="0" fontId="68" fillId="0" borderId="13" xfId="68" applyFont="1" applyFill="1" applyBorder="1" applyAlignment="1" applyProtection="1">
      <alignment horizontal="left" vertical="center"/>
    </xf>
    <xf numFmtId="0" fontId="87" fillId="0" borderId="77" xfId="0" applyFont="1" applyBorder="1"/>
    <xf numFmtId="0" fontId="88" fillId="0" borderId="77" xfId="0" applyFont="1" applyBorder="1"/>
    <xf numFmtId="0" fontId="0" fillId="31" borderId="22" xfId="0" applyFill="1" applyBorder="1" applyProtection="1"/>
    <xf numFmtId="181" fontId="5" fillId="27" borderId="51" xfId="79" applyNumberFormat="1" applyFont="1" applyFill="1" applyBorder="1" applyAlignment="1" applyProtection="1">
      <alignment horizontal="right" vertical="center"/>
      <protection hidden="1"/>
    </xf>
    <xf numFmtId="181" fontId="3" fillId="30" borderId="51" xfId="79" applyNumberFormat="1" applyFont="1" applyFill="1" applyBorder="1" applyAlignment="1" applyProtection="1">
      <alignment horizontal="center" vertical="center"/>
    </xf>
    <xf numFmtId="165" fontId="3" fillId="29" borderId="21" xfId="0" applyNumberFormat="1" applyFont="1" applyFill="1" applyBorder="1" applyAlignment="1" applyProtection="1">
      <alignment vertical="center"/>
    </xf>
    <xf numFmtId="164" fontId="55" fillId="29" borderId="49" xfId="0" applyNumberFormat="1" applyFont="1" applyFill="1" applyBorder="1" applyAlignment="1" applyProtection="1">
      <alignment vertical="center"/>
    </xf>
    <xf numFmtId="165" fontId="55" fillId="29" borderId="22" xfId="0" applyNumberFormat="1" applyFont="1" applyFill="1" applyBorder="1" applyAlignment="1" applyProtection="1">
      <alignment vertical="center"/>
    </xf>
    <xf numFmtId="0" fontId="0" fillId="0" borderId="0" xfId="0" applyAlignment="1" applyProtection="1"/>
    <xf numFmtId="0" fontId="0" fillId="0" borderId="0" xfId="0" quotePrefix="1"/>
    <xf numFmtId="0" fontId="0" fillId="31" borderId="38" xfId="0" applyFill="1" applyBorder="1" applyProtection="1"/>
    <xf numFmtId="0" fontId="3" fillId="0" borderId="78" xfId="58" applyFont="1" applyFill="1" applyBorder="1" applyAlignment="1" applyProtection="1">
      <alignment vertical="center" wrapText="1"/>
    </xf>
    <xf numFmtId="0" fontId="3" fillId="0" borderId="79" xfId="58" applyFont="1" applyFill="1" applyBorder="1" applyAlignment="1" applyProtection="1">
      <alignment vertical="center" wrapText="1"/>
    </xf>
    <xf numFmtId="0" fontId="3" fillId="0" borderId="0" xfId="58" applyFont="1" applyFill="1" applyBorder="1" applyAlignment="1" applyProtection="1">
      <alignment vertical="center" wrapText="1"/>
    </xf>
    <xf numFmtId="0" fontId="3" fillId="0" borderId="80" xfId="58" applyFont="1" applyFill="1" applyBorder="1" applyAlignment="1" applyProtection="1">
      <alignment vertical="center" wrapText="1"/>
    </xf>
    <xf numFmtId="0" fontId="3" fillId="0" borderId="81" xfId="58" applyFont="1" applyFill="1" applyBorder="1" applyAlignment="1" applyProtection="1">
      <alignment vertical="center" wrapText="1"/>
    </xf>
    <xf numFmtId="0" fontId="3" fillId="0" borderId="82" xfId="58" applyFont="1" applyFill="1" applyBorder="1" applyAlignment="1" applyProtection="1">
      <alignment vertical="center" wrapText="1"/>
    </xf>
    <xf numFmtId="0" fontId="0" fillId="31" borderId="16" xfId="0" applyFill="1" applyBorder="1" applyProtection="1"/>
    <xf numFmtId="0" fontId="0" fillId="0" borderId="67" xfId="0" applyBorder="1" applyProtection="1"/>
    <xf numFmtId="0" fontId="3" fillId="0" borderId="25" xfId="58" applyFont="1" applyFill="1" applyBorder="1" applyAlignment="1" applyProtection="1">
      <alignment vertical="center" wrapText="1"/>
    </xf>
    <xf numFmtId="0" fontId="3" fillId="0" borderId="23" xfId="58" applyFont="1" applyFill="1" applyBorder="1" applyAlignment="1" applyProtection="1">
      <alignment vertical="center" wrapText="1"/>
    </xf>
    <xf numFmtId="0" fontId="3" fillId="0" borderId="25" xfId="58" applyFont="1" applyFill="1" applyBorder="1" applyAlignment="1" applyProtection="1">
      <alignment vertical="top" wrapText="1"/>
    </xf>
    <xf numFmtId="0" fontId="3" fillId="0" borderId="23" xfId="58" applyFont="1" applyFill="1" applyBorder="1" applyAlignment="1" applyProtection="1">
      <alignment vertical="top" wrapText="1"/>
    </xf>
    <xf numFmtId="0" fontId="3" fillId="0" borderId="25" xfId="58" applyFont="1" applyFill="1" applyBorder="1" applyProtection="1"/>
    <xf numFmtId="0" fontId="3" fillId="0" borderId="23" xfId="58" applyFont="1" applyFill="1" applyBorder="1" applyProtection="1"/>
    <xf numFmtId="0" fontId="0" fillId="0" borderId="4" xfId="0" applyBorder="1" applyAlignment="1" applyProtection="1">
      <alignment horizontal="center" vertical="center"/>
    </xf>
    <xf numFmtId="0" fontId="3" fillId="0" borderId="33" xfId="58" applyFont="1" applyFill="1" applyBorder="1" applyAlignment="1" applyProtection="1">
      <alignment vertical="center" wrapText="1"/>
    </xf>
    <xf numFmtId="0" fontId="3" fillId="0" borderId="33" xfId="58" applyFont="1" applyFill="1" applyBorder="1" applyAlignment="1" applyProtection="1">
      <alignment vertical="top" wrapText="1"/>
    </xf>
    <xf numFmtId="0" fontId="3" fillId="0" borderId="33" xfId="58" applyFont="1" applyFill="1" applyBorder="1" applyProtection="1"/>
    <xf numFmtId="0" fontId="0" fillId="0" borderId="40" xfId="0" applyBorder="1" applyProtection="1"/>
    <xf numFmtId="0" fontId="3" fillId="0" borderId="32" xfId="0" applyFont="1" applyBorder="1" applyAlignment="1" applyProtection="1">
      <alignment vertical="center" wrapText="1"/>
    </xf>
    <xf numFmtId="0" fontId="3" fillId="0" borderId="13" xfId="0" applyFont="1" applyBorder="1" applyAlignment="1" applyProtection="1">
      <alignment vertical="center" wrapText="1"/>
    </xf>
    <xf numFmtId="0" fontId="3" fillId="0" borderId="19" xfId="0" applyFont="1" applyBorder="1" applyAlignment="1" applyProtection="1">
      <alignment vertical="center" wrapText="1"/>
    </xf>
    <xf numFmtId="0" fontId="3" fillId="0" borderId="14" xfId="0" applyFont="1" applyBorder="1" applyAlignment="1" applyProtection="1">
      <alignment vertical="center" wrapText="1"/>
    </xf>
    <xf numFmtId="0" fontId="0" fillId="0" borderId="14" xfId="0" applyBorder="1" applyAlignment="1" applyProtection="1">
      <alignment vertical="center" wrapText="1"/>
    </xf>
    <xf numFmtId="166" fontId="64" fillId="0" borderId="13" xfId="76" applyFont="1" applyFill="1" applyBorder="1" applyAlignment="1" applyProtection="1">
      <alignment vertical="center"/>
    </xf>
    <xf numFmtId="0" fontId="3" fillId="0" borderId="25" xfId="58" applyFont="1" applyBorder="1" applyAlignment="1" applyProtection="1">
      <alignment vertical="center" wrapText="1"/>
    </xf>
    <xf numFmtId="0" fontId="3" fillId="0" borderId="33" xfId="58" applyFont="1" applyBorder="1" applyAlignment="1" applyProtection="1">
      <alignment vertical="center" wrapText="1"/>
    </xf>
    <xf numFmtId="0" fontId="3" fillId="0" borderId="23" xfId="58" applyFont="1" applyBorder="1" applyAlignment="1" applyProtection="1">
      <alignment vertical="center" wrapText="1"/>
    </xf>
    <xf numFmtId="0" fontId="3" fillId="0" borderId="25" xfId="58" applyFont="1" applyBorder="1" applyAlignment="1" applyProtection="1"/>
    <xf numFmtId="0" fontId="3" fillId="0" borderId="33" xfId="58" applyFont="1" applyBorder="1" applyAlignment="1" applyProtection="1"/>
    <xf numFmtId="0" fontId="3" fillId="0" borderId="23" xfId="58" applyFont="1" applyBorder="1" applyAlignment="1" applyProtection="1"/>
    <xf numFmtId="0" fontId="67" fillId="0" borderId="78" xfId="58" applyBorder="1" applyProtection="1"/>
    <xf numFmtId="0" fontId="67" fillId="0" borderId="79" xfId="58" applyBorder="1" applyProtection="1"/>
    <xf numFmtId="0" fontId="67" fillId="0" borderId="0" xfId="58" applyBorder="1" applyProtection="1"/>
    <xf numFmtId="0" fontId="67" fillId="0" borderId="80" xfId="58" applyBorder="1" applyProtection="1"/>
    <xf numFmtId="0" fontId="67" fillId="0" borderId="81" xfId="58" applyBorder="1" applyProtection="1"/>
    <xf numFmtId="0" fontId="67" fillId="0" borderId="82" xfId="58" applyBorder="1" applyProtection="1"/>
    <xf numFmtId="181" fontId="42" fillId="29" borderId="6" xfId="0" applyNumberFormat="1" applyFont="1" applyFill="1" applyBorder="1" applyAlignment="1" applyProtection="1">
      <alignment vertical="center"/>
    </xf>
    <xf numFmtId="181" fontId="42" fillId="29" borderId="36" xfId="0" applyNumberFormat="1" applyFont="1" applyFill="1" applyBorder="1" applyAlignment="1" applyProtection="1">
      <alignment vertical="center"/>
    </xf>
    <xf numFmtId="166" fontId="63" fillId="0" borderId="24" xfId="76" applyFont="1" applyFill="1" applyBorder="1" applyAlignment="1" applyProtection="1">
      <alignment vertical="center"/>
    </xf>
    <xf numFmtId="0" fontId="0" fillId="0" borderId="32" xfId="0" applyBorder="1"/>
    <xf numFmtId="0" fontId="0" fillId="0" borderId="13" xfId="0" applyBorder="1"/>
    <xf numFmtId="0" fontId="0" fillId="0" borderId="19" xfId="0" applyBorder="1"/>
    <xf numFmtId="4" fontId="3" fillId="32" borderId="6" xfId="76" applyNumberFormat="1" applyFont="1" applyFill="1" applyBorder="1" applyAlignment="1" applyProtection="1">
      <alignment vertical="center"/>
      <protection locked="0"/>
    </xf>
    <xf numFmtId="167" fontId="0" fillId="32" borderId="38" xfId="0" applyNumberFormat="1" applyFill="1" applyBorder="1" applyProtection="1">
      <protection locked="0"/>
    </xf>
    <xf numFmtId="167" fontId="0" fillId="32" borderId="0" xfId="0" applyNumberFormat="1" applyFill="1" applyBorder="1" applyProtection="1">
      <protection locked="0"/>
    </xf>
    <xf numFmtId="167" fontId="0" fillId="32" borderId="4" xfId="0" applyNumberFormat="1" applyFill="1" applyBorder="1" applyProtection="1">
      <protection locked="0"/>
    </xf>
    <xf numFmtId="0" fontId="3" fillId="0" borderId="25" xfId="0" applyFont="1" applyFill="1" applyBorder="1" applyAlignment="1" applyProtection="1">
      <alignment vertical="center" wrapText="1"/>
    </xf>
    <xf numFmtId="0" fontId="3" fillId="0" borderId="33" xfId="0" applyFont="1" applyFill="1" applyBorder="1" applyAlignment="1" applyProtection="1">
      <alignment vertical="center" wrapText="1"/>
    </xf>
    <xf numFmtId="0" fontId="3" fillId="0" borderId="23" xfId="0" applyFont="1" applyFill="1" applyBorder="1" applyAlignment="1" applyProtection="1">
      <alignment vertical="center" wrapText="1"/>
    </xf>
    <xf numFmtId="0" fontId="0" fillId="31" borderId="21" xfId="0" applyFill="1" applyBorder="1" applyProtection="1"/>
    <xf numFmtId="0" fontId="0" fillId="31" borderId="4" xfId="0" applyFill="1" applyBorder="1" applyProtection="1"/>
    <xf numFmtId="0" fontId="0" fillId="0" borderId="86" xfId="0" applyBorder="1" applyProtection="1"/>
    <xf numFmtId="0" fontId="0" fillId="0" borderId="29" xfId="0" applyBorder="1" applyProtection="1"/>
    <xf numFmtId="0" fontId="0" fillId="0" borderId="41" xfId="0" applyBorder="1" applyProtection="1"/>
    <xf numFmtId="0" fontId="42" fillId="0" borderId="14" xfId="0" applyFont="1" applyFill="1" applyBorder="1" applyAlignment="1" applyProtection="1">
      <alignment horizontal="right" vertical="center"/>
    </xf>
    <xf numFmtId="0" fontId="42" fillId="0" borderId="0" xfId="0" applyFont="1" applyFill="1" applyBorder="1" applyAlignment="1" applyProtection="1">
      <alignment horizontal="right" vertical="center"/>
    </xf>
    <xf numFmtId="166" fontId="76" fillId="0" borderId="0" xfId="76" applyFont="1" applyAlignment="1" applyProtection="1">
      <alignment vertical="center"/>
    </xf>
    <xf numFmtId="4" fontId="71" fillId="0" borderId="0" xfId="0" applyNumberFormat="1" applyFont="1" applyFill="1" applyBorder="1" applyAlignment="1" applyProtection="1">
      <alignment horizontal="left"/>
    </xf>
    <xf numFmtId="0" fontId="5" fillId="0" borderId="6" xfId="66" applyFont="1" applyFill="1" applyBorder="1" applyProtection="1">
      <alignment horizontal="center" vertical="center" wrapText="1"/>
    </xf>
    <xf numFmtId="0" fontId="5" fillId="0" borderId="6" xfId="66" applyFont="1" applyFill="1" applyBorder="1" applyAlignment="1" applyProtection="1">
      <alignment horizontal="center" vertical="center" wrapText="1"/>
    </xf>
    <xf numFmtId="1" fontId="3" fillId="0" borderId="37" xfId="0" applyNumberFormat="1" applyFont="1" applyFill="1" applyBorder="1" applyAlignment="1" applyProtection="1">
      <alignment horizontal="center"/>
    </xf>
    <xf numFmtId="0" fontId="3" fillId="0" borderId="37" xfId="0" applyFont="1" applyFill="1" applyBorder="1" applyAlignment="1" applyProtection="1">
      <alignment horizontal="center"/>
    </xf>
    <xf numFmtId="172" fontId="3" fillId="0" borderId="25" xfId="79" applyFont="1" applyFill="1" applyBorder="1" applyAlignment="1" applyProtection="1">
      <alignment horizontal="center"/>
    </xf>
    <xf numFmtId="0" fontId="3" fillId="0" borderId="30" xfId="0" applyFont="1" applyFill="1" applyBorder="1" applyAlignment="1" applyProtection="1">
      <alignment horizontal="center"/>
    </xf>
    <xf numFmtId="1" fontId="3" fillId="0" borderId="34" xfId="0" applyNumberFormat="1" applyFont="1" applyFill="1" applyBorder="1" applyAlignment="1" applyProtection="1">
      <alignment horizontal="center"/>
    </xf>
    <xf numFmtId="0" fontId="3" fillId="0" borderId="34" xfId="0" applyFont="1" applyFill="1" applyBorder="1" applyAlignment="1" applyProtection="1">
      <alignment horizontal="center"/>
    </xf>
    <xf numFmtId="172" fontId="3" fillId="0" borderId="33" xfId="79" applyFont="1" applyFill="1" applyBorder="1" applyAlignment="1" applyProtection="1">
      <alignment horizontal="center"/>
    </xf>
    <xf numFmtId="0" fontId="3" fillId="0" borderId="24" xfId="0" applyFont="1" applyFill="1" applyBorder="1" applyAlignment="1" applyProtection="1">
      <alignment horizontal="center"/>
    </xf>
    <xf numFmtId="1" fontId="3" fillId="0" borderId="36" xfId="0" applyNumberFormat="1" applyFont="1" applyFill="1" applyBorder="1" applyAlignment="1" applyProtection="1">
      <alignment horizontal="center"/>
    </xf>
    <xf numFmtId="0" fontId="3" fillId="0" borderId="36" xfId="0" applyFont="1" applyFill="1" applyBorder="1" applyAlignment="1" applyProtection="1">
      <alignment horizontal="center"/>
    </xf>
    <xf numFmtId="172" fontId="3" fillId="0" borderId="23" xfId="79" applyFont="1" applyFill="1" applyBorder="1" applyAlignment="1" applyProtection="1">
      <alignment horizontal="center"/>
    </xf>
    <xf numFmtId="0" fontId="3" fillId="0" borderId="15" xfId="67" applyFont="1" applyFill="1" applyBorder="1" applyAlignment="1" applyProtection="1">
      <alignment horizontal="left" vertical="center"/>
    </xf>
    <xf numFmtId="0" fontId="3" fillId="0" borderId="23" xfId="67" applyFont="1" applyFill="1" applyBorder="1" applyAlignment="1" applyProtection="1">
      <alignment horizontal="left" vertical="center"/>
    </xf>
    <xf numFmtId="0" fontId="68" fillId="0" borderId="13" xfId="68" applyFont="1" applyFill="1" applyBorder="1" applyAlignment="1" applyProtection="1">
      <alignment horizontal="left" vertical="center"/>
    </xf>
    <xf numFmtId="177" fontId="3" fillId="27" borderId="66" xfId="76" applyNumberFormat="1" applyFont="1" applyFill="1" applyBorder="1" applyAlignment="1" applyProtection="1">
      <alignment vertical="center"/>
      <protection hidden="1"/>
    </xf>
    <xf numFmtId="0" fontId="42" fillId="0" borderId="23" xfId="0" applyFont="1" applyFill="1" applyBorder="1" applyAlignment="1" applyProtection="1">
      <alignment horizontal="right" vertical="center"/>
    </xf>
    <xf numFmtId="0" fontId="42" fillId="0" borderId="37" xfId="0" quotePrefix="1" applyFont="1" applyFill="1" applyBorder="1" applyAlignment="1" applyProtection="1">
      <alignment horizontal="center" vertical="center"/>
    </xf>
    <xf numFmtId="0" fontId="42" fillId="0" borderId="34" xfId="0" quotePrefix="1" applyFont="1" applyFill="1" applyBorder="1" applyAlignment="1" applyProtection="1">
      <alignment horizontal="center" vertical="center"/>
    </xf>
    <xf numFmtId="0" fontId="42" fillId="0" borderId="36" xfId="0" applyFont="1" applyFill="1" applyBorder="1" applyAlignment="1" applyProtection="1">
      <alignment horizontal="right" vertical="center"/>
    </xf>
    <xf numFmtId="0" fontId="15" fillId="0" borderId="25" xfId="0" applyFont="1" applyFill="1" applyBorder="1" applyAlignment="1" applyProtection="1">
      <alignment horizontal="right" vertical="center"/>
    </xf>
    <xf numFmtId="165" fontId="8" fillId="0" borderId="33" xfId="0" applyNumberFormat="1" applyFont="1" applyFill="1" applyBorder="1" applyAlignment="1" applyProtection="1">
      <alignment vertical="center"/>
    </xf>
    <xf numFmtId="0" fontId="0" fillId="0" borderId="0" xfId="0" applyFill="1" applyBorder="1" applyAlignment="1" applyProtection="1">
      <alignment vertical="center" wrapText="1"/>
    </xf>
    <xf numFmtId="0" fontId="55" fillId="29" borderId="22" xfId="0" applyNumberFormat="1" applyFont="1" applyFill="1" applyBorder="1" applyAlignment="1" applyProtection="1">
      <alignment vertical="center" wrapText="1"/>
    </xf>
    <xf numFmtId="164" fontId="3" fillId="29" borderId="21" xfId="0" applyNumberFormat="1" applyFont="1" applyFill="1" applyBorder="1" applyAlignment="1" applyProtection="1">
      <alignment vertical="center" wrapText="1"/>
    </xf>
    <xf numFmtId="0" fontId="16" fillId="0" borderId="35" xfId="0" applyFont="1" applyFill="1" applyBorder="1" applyAlignment="1" applyProtection="1">
      <alignment vertical="center" wrapText="1"/>
    </xf>
    <xf numFmtId="0" fontId="0" fillId="0" borderId="0" xfId="0" applyFill="1" applyAlignment="1" applyProtection="1">
      <alignment vertical="center" wrapText="1"/>
    </xf>
    <xf numFmtId="0" fontId="0" fillId="27" borderId="0" xfId="0" applyFill="1" applyAlignment="1" applyProtection="1">
      <alignment vertical="center" wrapText="1"/>
    </xf>
    <xf numFmtId="0" fontId="0" fillId="0" borderId="0" xfId="0" applyAlignment="1">
      <alignment horizontal="right"/>
    </xf>
    <xf numFmtId="166" fontId="65" fillId="32" borderId="20" xfId="76" applyFont="1" applyFill="1" applyBorder="1" applyAlignment="1" applyProtection="1">
      <alignment horizontal="center" vertical="center"/>
      <protection locked="0"/>
    </xf>
    <xf numFmtId="166" fontId="65" fillId="32" borderId="14" xfId="76" applyFont="1" applyFill="1" applyBorder="1" applyAlignment="1" applyProtection="1">
      <alignment horizontal="center" vertical="center"/>
      <protection locked="0"/>
    </xf>
    <xf numFmtId="166" fontId="65" fillId="32" borderId="17" xfId="76" applyFont="1" applyFill="1" applyBorder="1" applyAlignment="1" applyProtection="1">
      <alignment horizontal="center" vertical="center"/>
      <protection locked="0"/>
    </xf>
    <xf numFmtId="0" fontId="0" fillId="0" borderId="5" xfId="0" applyBorder="1" applyAlignment="1">
      <alignment horizontal="left" vertical="center"/>
    </xf>
    <xf numFmtId="0" fontId="0" fillId="0" borderId="0" xfId="0" applyBorder="1" applyAlignment="1">
      <alignment horizontal="left" vertical="center"/>
    </xf>
    <xf numFmtId="0" fontId="0" fillId="0" borderId="18" xfId="0" applyBorder="1" applyAlignment="1">
      <alignment horizontal="left" vertical="center"/>
    </xf>
    <xf numFmtId="0" fontId="5" fillId="33" borderId="5" xfId="0" applyFont="1" applyFill="1" applyBorder="1" applyAlignment="1" applyProtection="1">
      <alignment horizontal="center" vertical="center"/>
    </xf>
    <xf numFmtId="0" fontId="5" fillId="33" borderId="32" xfId="0" applyFont="1" applyFill="1" applyBorder="1" applyAlignment="1" applyProtection="1">
      <alignment horizontal="center" vertical="center"/>
    </xf>
    <xf numFmtId="0" fontId="5" fillId="33" borderId="4" xfId="0" applyFont="1" applyFill="1" applyBorder="1" applyAlignment="1" applyProtection="1">
      <alignment horizontal="center" vertical="center"/>
    </xf>
    <xf numFmtId="0" fontId="5" fillId="33" borderId="64" xfId="0" applyFont="1" applyFill="1" applyBorder="1" applyAlignment="1" applyProtection="1">
      <alignment horizontal="center" vertical="center"/>
    </xf>
    <xf numFmtId="0" fontId="3" fillId="0" borderId="38" xfId="0" applyFont="1" applyFill="1" applyBorder="1" applyAlignment="1" applyProtection="1">
      <alignment horizontal="left" vertical="center" wrapText="1"/>
    </xf>
    <xf numFmtId="0" fontId="3" fillId="0" borderId="25"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33"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wrapText="1"/>
    </xf>
    <xf numFmtId="0" fontId="3" fillId="0" borderId="23" xfId="0" applyFont="1" applyFill="1" applyBorder="1" applyAlignment="1" applyProtection="1">
      <alignment horizontal="left" vertical="center" wrapText="1"/>
    </xf>
    <xf numFmtId="166" fontId="63" fillId="0" borderId="22" xfId="76" applyFont="1" applyFill="1" applyBorder="1" applyAlignment="1" applyProtection="1">
      <alignment horizontal="center" vertical="center"/>
      <protection locked="0"/>
    </xf>
    <xf numFmtId="0" fontId="89" fillId="0" borderId="0" xfId="0" applyFont="1" applyAlignment="1" applyProtection="1">
      <alignment vertical="center" wrapText="1"/>
    </xf>
    <xf numFmtId="0" fontId="3" fillId="0" borderId="49" xfId="58" applyFont="1" applyBorder="1" applyAlignment="1" applyProtection="1">
      <alignment horizontal="left" vertical="center" wrapText="1"/>
    </xf>
    <xf numFmtId="0" fontId="3" fillId="0" borderId="38" xfId="58" applyFont="1" applyBorder="1" applyAlignment="1" applyProtection="1">
      <alignment horizontal="left" vertical="center" wrapText="1"/>
    </xf>
    <xf numFmtId="0" fontId="3" fillId="0" borderId="30" xfId="58" applyFont="1" applyBorder="1" applyAlignment="1" applyProtection="1">
      <alignment horizontal="left" vertical="center" wrapText="1"/>
    </xf>
    <xf numFmtId="0" fontId="3" fillId="0" borderId="0" xfId="58" applyFont="1" applyBorder="1" applyAlignment="1" applyProtection="1">
      <alignment horizontal="left" vertical="center" wrapText="1"/>
    </xf>
    <xf numFmtId="0" fontId="3" fillId="0" borderId="24" xfId="58" applyFont="1" applyBorder="1" applyAlignment="1" applyProtection="1">
      <alignment horizontal="left" vertical="center" wrapText="1"/>
    </xf>
    <xf numFmtId="0" fontId="3" fillId="0" borderId="4" xfId="58" applyFont="1" applyBorder="1" applyAlignment="1" applyProtection="1">
      <alignment horizontal="left" vertical="center" wrapText="1"/>
    </xf>
    <xf numFmtId="0" fontId="3" fillId="0" borderId="25" xfId="58" applyFont="1" applyBorder="1" applyAlignment="1" applyProtection="1">
      <alignment horizontal="center" vertical="center" wrapText="1"/>
    </xf>
    <xf numFmtId="0" fontId="3" fillId="0" borderId="33" xfId="58" applyFont="1" applyBorder="1" applyAlignment="1" applyProtection="1">
      <alignment horizontal="center" vertical="center" wrapText="1"/>
    </xf>
    <xf numFmtId="0" fontId="3" fillId="0" borderId="23" xfId="58" applyFont="1" applyBorder="1" applyAlignment="1" applyProtection="1">
      <alignment horizontal="center" vertical="center" wrapText="1"/>
    </xf>
    <xf numFmtId="166" fontId="64" fillId="33" borderId="20" xfId="76" applyFont="1" applyFill="1" applyBorder="1" applyAlignment="1" applyProtection="1">
      <alignment horizontal="center" vertical="center"/>
      <protection locked="0"/>
    </xf>
    <xf numFmtId="166" fontId="64" fillId="33" borderId="15" xfId="76" applyFont="1" applyFill="1" applyBorder="1" applyAlignment="1" applyProtection="1">
      <alignment horizontal="center" vertical="center"/>
      <protection locked="0"/>
    </xf>
    <xf numFmtId="0" fontId="5" fillId="33" borderId="5" xfId="0" applyFont="1" applyFill="1" applyBorder="1" applyAlignment="1" applyProtection="1">
      <alignment horizontal="center" vertical="center" wrapText="1"/>
    </xf>
    <xf numFmtId="0" fontId="5" fillId="33" borderId="32" xfId="0" applyFont="1" applyFill="1" applyBorder="1" applyAlignment="1" applyProtection="1">
      <alignment horizontal="center" vertical="center" wrapText="1"/>
    </xf>
    <xf numFmtId="0" fontId="5" fillId="33" borderId="4" xfId="0" applyFont="1" applyFill="1" applyBorder="1" applyAlignment="1" applyProtection="1">
      <alignment horizontal="center" vertical="center" wrapText="1"/>
    </xf>
    <xf numFmtId="0" fontId="5" fillId="33" borderId="64" xfId="0" applyFont="1" applyFill="1" applyBorder="1" applyAlignment="1" applyProtection="1">
      <alignment horizontal="center" vertical="center" wrapText="1"/>
    </xf>
    <xf numFmtId="166" fontId="63" fillId="0" borderId="20" xfId="76" applyFont="1" applyFill="1" applyBorder="1" applyAlignment="1" applyProtection="1">
      <alignment horizontal="center" vertical="center"/>
      <protection locked="0"/>
    </xf>
    <xf numFmtId="166" fontId="63" fillId="0" borderId="14" xfId="76" applyFont="1" applyFill="1" applyBorder="1" applyAlignment="1" applyProtection="1">
      <alignment horizontal="center" vertical="center"/>
      <protection locked="0"/>
    </xf>
    <xf numFmtId="166" fontId="63" fillId="0" borderId="17" xfId="76" applyFont="1" applyFill="1" applyBorder="1" applyAlignment="1" applyProtection="1">
      <alignment horizontal="center" vertical="center"/>
      <protection locked="0"/>
    </xf>
    <xf numFmtId="0" fontId="3" fillId="0" borderId="5"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8" xfId="0" applyFont="1" applyBorder="1" applyAlignment="1" applyProtection="1">
      <alignment horizontal="left" vertical="center" wrapText="1"/>
    </xf>
    <xf numFmtId="0" fontId="3" fillId="0" borderId="49" xfId="58" applyFont="1" applyFill="1" applyBorder="1" applyAlignment="1" applyProtection="1">
      <alignment horizontal="left" vertical="center" wrapText="1"/>
    </xf>
    <xf numFmtId="0" fontId="3" fillId="0" borderId="38" xfId="58" applyFont="1" applyFill="1" applyBorder="1" applyAlignment="1" applyProtection="1">
      <alignment horizontal="left" vertical="center" wrapText="1"/>
    </xf>
    <xf numFmtId="0" fontId="3" fillId="0" borderId="30" xfId="58" applyFont="1" applyFill="1" applyBorder="1" applyAlignment="1" applyProtection="1">
      <alignment horizontal="left" vertical="center" wrapText="1"/>
    </xf>
    <xf numFmtId="0" fontId="3" fillId="0" borderId="0" xfId="58" applyFont="1" applyFill="1" applyBorder="1" applyAlignment="1" applyProtection="1">
      <alignment horizontal="left" vertical="center" wrapText="1"/>
    </xf>
    <xf numFmtId="0" fontId="3" fillId="0" borderId="24" xfId="58" applyFont="1" applyFill="1" applyBorder="1" applyAlignment="1" applyProtection="1">
      <alignment horizontal="left" vertical="center" wrapText="1"/>
    </xf>
    <xf numFmtId="0" fontId="3" fillId="0" borderId="4" xfId="58" applyFont="1" applyFill="1" applyBorder="1" applyAlignment="1" applyProtection="1">
      <alignment horizontal="left" vertical="center" wrapText="1"/>
    </xf>
    <xf numFmtId="0" fontId="3" fillId="0" borderId="49" xfId="58" applyFont="1" applyFill="1" applyBorder="1" applyAlignment="1" applyProtection="1">
      <alignment horizontal="left" vertical="top" wrapText="1"/>
    </xf>
    <xf numFmtId="0" fontId="3" fillId="0" borderId="38" xfId="58" applyFont="1" applyFill="1" applyBorder="1" applyAlignment="1" applyProtection="1">
      <alignment horizontal="left" vertical="top" wrapText="1"/>
    </xf>
    <xf numFmtId="0" fontId="3" fillId="0" borderId="30" xfId="58" applyFont="1" applyFill="1" applyBorder="1" applyAlignment="1" applyProtection="1">
      <alignment horizontal="left" vertical="top" wrapText="1"/>
    </xf>
    <xf numFmtId="0" fontId="3" fillId="0" borderId="0" xfId="58" applyFont="1" applyFill="1" applyBorder="1" applyAlignment="1" applyProtection="1">
      <alignment horizontal="left" vertical="top" wrapText="1"/>
    </xf>
    <xf numFmtId="0" fontId="3" fillId="0" borderId="24" xfId="58" applyFont="1" applyFill="1" applyBorder="1" applyAlignment="1" applyProtection="1">
      <alignment horizontal="left" vertical="top" wrapText="1"/>
    </xf>
    <xf numFmtId="0" fontId="3" fillId="0" borderId="4" xfId="58" applyFont="1" applyFill="1" applyBorder="1" applyAlignment="1" applyProtection="1">
      <alignment horizontal="left" vertical="top" wrapText="1"/>
    </xf>
    <xf numFmtId="0" fontId="3" fillId="0" borderId="25" xfId="58" applyFont="1" applyFill="1" applyBorder="1" applyAlignment="1" applyProtection="1">
      <alignment horizontal="center" vertical="center" wrapText="1"/>
    </xf>
    <xf numFmtId="0" fontId="3" fillId="0" borderId="33" xfId="58" applyFont="1" applyFill="1" applyBorder="1" applyAlignment="1" applyProtection="1">
      <alignment horizontal="center" vertical="center" wrapText="1"/>
    </xf>
    <xf numFmtId="0" fontId="3" fillId="0" borderId="23" xfId="58" applyFont="1" applyFill="1" applyBorder="1" applyAlignment="1" applyProtection="1">
      <alignment horizontal="center" vertical="center" wrapText="1"/>
    </xf>
    <xf numFmtId="0" fontId="3" fillId="0" borderId="83" xfId="58" applyFont="1" applyBorder="1" applyAlignment="1" applyProtection="1">
      <alignment horizontal="left" vertical="center" wrapText="1"/>
    </xf>
    <xf numFmtId="0" fontId="3" fillId="0" borderId="78" xfId="58" applyFont="1" applyBorder="1" applyAlignment="1" applyProtection="1">
      <alignment horizontal="left" vertical="center" wrapText="1"/>
    </xf>
    <xf numFmtId="0" fontId="3" fillId="0" borderId="84" xfId="58" applyFont="1" applyBorder="1" applyAlignment="1" applyProtection="1">
      <alignment horizontal="left" vertical="center" wrapText="1"/>
    </xf>
    <xf numFmtId="0" fontId="3" fillId="0" borderId="85" xfId="58" applyFont="1" applyBorder="1" applyAlignment="1" applyProtection="1">
      <alignment horizontal="left" vertical="center" wrapText="1"/>
    </xf>
    <xf numFmtId="0" fontId="3" fillId="0" borderId="81" xfId="58" applyFont="1" applyBorder="1" applyAlignment="1" applyProtection="1">
      <alignment horizontal="left" vertical="center" wrapText="1"/>
    </xf>
    <xf numFmtId="0" fontId="3" fillId="0" borderId="25" xfId="58" applyFont="1" applyFill="1" applyBorder="1" applyAlignment="1" applyProtection="1">
      <alignment horizontal="left" vertical="center" wrapText="1"/>
    </xf>
    <xf numFmtId="0" fontId="3" fillId="0" borderId="33" xfId="58" applyFont="1" applyFill="1" applyBorder="1" applyAlignment="1" applyProtection="1">
      <alignment horizontal="left" vertical="center" wrapText="1"/>
    </xf>
    <xf numFmtId="0" fontId="3" fillId="0" borderId="23" xfId="58" applyFont="1" applyFill="1" applyBorder="1" applyAlignment="1" applyProtection="1">
      <alignment horizontal="left" vertical="center" wrapText="1"/>
    </xf>
    <xf numFmtId="0" fontId="3" fillId="0" borderId="21" xfId="0" applyFont="1" applyFill="1" applyBorder="1" applyAlignment="1" applyProtection="1">
      <alignment horizontal="left" vertical="center" wrapText="1"/>
    </xf>
    <xf numFmtId="0" fontId="3" fillId="0" borderId="6" xfId="0" applyFont="1" applyFill="1" applyBorder="1" applyAlignment="1" applyProtection="1">
      <alignment horizontal="left" vertical="center" wrapText="1"/>
    </xf>
    <xf numFmtId="166" fontId="63" fillId="0" borderId="49" xfId="76" applyFont="1" applyFill="1" applyBorder="1" applyAlignment="1" applyProtection="1">
      <alignment horizontal="center" vertical="center"/>
      <protection locked="0"/>
    </xf>
    <xf numFmtId="166" fontId="63" fillId="0" borderId="30" xfId="76" applyFont="1" applyFill="1" applyBorder="1" applyAlignment="1" applyProtection="1">
      <alignment horizontal="center" vertical="center"/>
      <protection locked="0"/>
    </xf>
    <xf numFmtId="166" fontId="63" fillId="0" borderId="24" xfId="76" applyFont="1" applyFill="1" applyBorder="1" applyAlignment="1" applyProtection="1">
      <alignment horizontal="center" vertical="center"/>
      <protection locked="0"/>
    </xf>
    <xf numFmtId="0" fontId="5" fillId="33" borderId="53" xfId="0" applyFont="1" applyFill="1" applyBorder="1" applyAlignment="1" applyProtection="1">
      <alignment horizontal="center" vertical="center"/>
    </xf>
    <xf numFmtId="0" fontId="5" fillId="33" borderId="60" xfId="0" applyFont="1" applyFill="1" applyBorder="1" applyAlignment="1" applyProtection="1">
      <alignment horizontal="center" vertical="center"/>
    </xf>
    <xf numFmtId="0" fontId="5" fillId="33" borderId="16" xfId="0" applyFont="1" applyFill="1" applyBorder="1" applyAlignment="1" applyProtection="1">
      <alignment horizontal="center" vertical="center"/>
    </xf>
    <xf numFmtId="0" fontId="5" fillId="33" borderId="61" xfId="0" applyFont="1" applyFill="1" applyBorder="1" applyAlignment="1" applyProtection="1">
      <alignment horizontal="center" vertical="center"/>
    </xf>
    <xf numFmtId="0" fontId="3" fillId="0" borderId="21" xfId="58" applyFont="1" applyFill="1" applyBorder="1" applyAlignment="1" applyProtection="1">
      <alignment horizontal="left" vertical="center" wrapText="1"/>
    </xf>
    <xf numFmtId="0" fontId="3" fillId="0" borderId="6" xfId="58" applyFont="1" applyFill="1" applyBorder="1" applyAlignment="1" applyProtection="1">
      <alignment horizontal="left" vertical="center" wrapText="1"/>
    </xf>
    <xf numFmtId="166" fontId="64" fillId="33" borderId="52" xfId="76" applyFont="1" applyFill="1" applyBorder="1" applyAlignment="1" applyProtection="1">
      <alignment horizontal="center" vertical="center"/>
      <protection locked="0"/>
    </xf>
    <xf numFmtId="166" fontId="64" fillId="33" borderId="26" xfId="76" applyFont="1" applyFill="1" applyBorder="1" applyAlignment="1" applyProtection="1">
      <alignment horizontal="center" vertical="center"/>
      <protection locked="0"/>
    </xf>
    <xf numFmtId="0" fontId="90" fillId="0" borderId="14" xfId="58" applyFont="1" applyFill="1" applyBorder="1" applyAlignment="1" applyProtection="1">
      <alignment horizontal="center" vertical="center" wrapText="1"/>
    </xf>
    <xf numFmtId="0" fontId="3" fillId="0" borderId="26" xfId="67" applyFont="1" applyFill="1" applyBorder="1" applyAlignment="1" applyProtection="1">
      <alignment horizontal="left" vertical="center"/>
    </xf>
    <xf numFmtId="0" fontId="3" fillId="0" borderId="21" xfId="67" applyFont="1" applyFill="1" applyBorder="1" applyAlignment="1" applyProtection="1">
      <alignment horizontal="left" vertical="center"/>
    </xf>
    <xf numFmtId="0" fontId="3" fillId="0" borderId="15" xfId="67" applyFont="1" applyFill="1" applyBorder="1" applyAlignment="1" applyProtection="1">
      <alignment horizontal="left" vertical="center"/>
    </xf>
    <xf numFmtId="0" fontId="3" fillId="0" borderId="23" xfId="67" applyFont="1" applyFill="1" applyBorder="1" applyAlignment="1" applyProtection="1">
      <alignment horizontal="left" vertical="center"/>
    </xf>
    <xf numFmtId="0" fontId="69" fillId="0" borderId="20" xfId="68" applyFont="1" applyFill="1" applyBorder="1" applyAlignment="1" applyProtection="1">
      <alignment horizontal="left" vertical="center"/>
    </xf>
    <xf numFmtId="0" fontId="69" fillId="0" borderId="5" xfId="68" applyFont="1" applyFill="1" applyBorder="1" applyAlignment="1" applyProtection="1">
      <alignment horizontal="left" vertical="center"/>
    </xf>
    <xf numFmtId="0" fontId="69" fillId="0" borderId="32" xfId="68" applyFont="1" applyFill="1" applyBorder="1" applyAlignment="1" applyProtection="1">
      <alignment horizontal="left" vertical="center"/>
    </xf>
    <xf numFmtId="164" fontId="69" fillId="0" borderId="5" xfId="0" applyNumberFormat="1" applyFont="1" applyFill="1" applyBorder="1" applyAlignment="1" applyProtection="1">
      <alignment horizontal="right" vertical="center"/>
    </xf>
    <xf numFmtId="164" fontId="69" fillId="0" borderId="68" xfId="0" applyNumberFormat="1" applyFont="1" applyFill="1" applyBorder="1" applyAlignment="1" applyProtection="1">
      <alignment horizontal="right" vertical="center"/>
    </xf>
    <xf numFmtId="164" fontId="69" fillId="0" borderId="0" xfId="0" applyNumberFormat="1" applyFont="1" applyFill="1" applyBorder="1" applyAlignment="1" applyProtection="1">
      <alignment horizontal="right" vertical="center"/>
    </xf>
    <xf numFmtId="164" fontId="69" fillId="0" borderId="33" xfId="0" applyNumberFormat="1" applyFont="1" applyFill="1" applyBorder="1" applyAlignment="1" applyProtection="1">
      <alignment horizontal="right" vertical="center"/>
    </xf>
    <xf numFmtId="164" fontId="68" fillId="0" borderId="39" xfId="0" applyNumberFormat="1" applyFont="1" applyFill="1" applyBorder="1" applyAlignment="1" applyProtection="1">
      <alignment horizontal="right" vertical="center"/>
    </xf>
    <xf numFmtId="164" fontId="68" fillId="0" borderId="25" xfId="0" applyNumberFormat="1" applyFont="1" applyFill="1" applyBorder="1" applyAlignment="1" applyProtection="1">
      <alignment horizontal="right" vertical="center"/>
    </xf>
    <xf numFmtId="164" fontId="72" fillId="0" borderId="14" xfId="0" applyNumberFormat="1" applyFont="1" applyFill="1" applyBorder="1" applyAlignment="1" applyProtection="1">
      <alignment horizontal="right" vertical="center"/>
    </xf>
    <xf numFmtId="164" fontId="72" fillId="0" borderId="33" xfId="0" applyNumberFormat="1" applyFont="1" applyFill="1" applyBorder="1" applyAlignment="1" applyProtection="1">
      <alignment horizontal="right" vertical="center"/>
    </xf>
    <xf numFmtId="0" fontId="68" fillId="0" borderId="14" xfId="68" applyFont="1" applyFill="1" applyBorder="1" applyAlignment="1" applyProtection="1">
      <alignment horizontal="left" vertical="center"/>
    </xf>
    <xf numFmtId="0" fontId="68" fillId="0" borderId="0" xfId="68" applyFont="1" applyFill="1" applyBorder="1" applyAlignment="1" applyProtection="1">
      <alignment horizontal="left" vertical="center"/>
    </xf>
    <xf numFmtId="0" fontId="68" fillId="0" borderId="13" xfId="68" applyFont="1" applyFill="1" applyBorder="1" applyAlignment="1" applyProtection="1">
      <alignment horizontal="left" vertical="center"/>
    </xf>
    <xf numFmtId="0" fontId="3" fillId="0" borderId="69" xfId="67" applyFont="1" applyFill="1" applyBorder="1" applyAlignment="1" applyProtection="1">
      <alignment horizontal="left" vertical="center"/>
    </xf>
    <xf numFmtId="0" fontId="3" fillId="0" borderId="31" xfId="67" applyFont="1" applyFill="1" applyBorder="1" applyAlignment="1" applyProtection="1">
      <alignment horizontal="left" vertical="center"/>
    </xf>
    <xf numFmtId="0" fontId="3" fillId="0" borderId="40" xfId="67" applyFont="1" applyFill="1" applyBorder="1" applyAlignment="1" applyProtection="1">
      <alignment horizontal="left" vertical="center"/>
    </xf>
    <xf numFmtId="0" fontId="69" fillId="0" borderId="5" xfId="68" applyFont="1" applyFill="1" applyBorder="1" applyAlignment="1" applyProtection="1">
      <alignment horizontal="right" vertical="center"/>
    </xf>
    <xf numFmtId="0" fontId="69" fillId="0" borderId="68" xfId="68" applyFont="1" applyFill="1" applyBorder="1" applyAlignment="1" applyProtection="1">
      <alignment horizontal="right" vertical="center"/>
    </xf>
    <xf numFmtId="0" fontId="81" fillId="0" borderId="20" xfId="68" applyFont="1" applyFill="1" applyBorder="1" applyAlignment="1" applyProtection="1">
      <alignment horizontal="left" vertical="center"/>
    </xf>
    <xf numFmtId="0" fontId="81" fillId="0" borderId="5" xfId="68" applyFont="1" applyFill="1" applyBorder="1" applyAlignment="1" applyProtection="1">
      <alignment horizontal="left" vertical="center"/>
    </xf>
    <xf numFmtId="0" fontId="81" fillId="0" borderId="32" xfId="68" applyFont="1" applyFill="1" applyBorder="1" applyAlignment="1" applyProtection="1">
      <alignment horizontal="left" vertical="center"/>
    </xf>
    <xf numFmtId="0" fontId="3" fillId="0" borderId="4" xfId="67" applyFont="1" applyFill="1" applyBorder="1" applyAlignment="1" applyProtection="1">
      <alignment horizontal="left" vertical="center"/>
    </xf>
    <xf numFmtId="0" fontId="3" fillId="0" borderId="16" xfId="67" applyFont="1" applyFill="1" applyBorder="1" applyAlignment="1" applyProtection="1">
      <alignment horizontal="left" vertical="center"/>
    </xf>
    <xf numFmtId="0" fontId="42" fillId="0" borderId="14" xfId="0" applyFont="1" applyFill="1" applyBorder="1" applyAlignment="1" applyProtection="1">
      <alignment horizontal="right" vertical="center"/>
    </xf>
    <xf numFmtId="0" fontId="42" fillId="0" borderId="33" xfId="0" applyFont="1" applyFill="1" applyBorder="1" applyAlignment="1" applyProtection="1">
      <alignment horizontal="right" vertical="center"/>
    </xf>
    <xf numFmtId="0" fontId="5" fillId="0" borderId="15" xfId="67" applyFont="1" applyFill="1" applyBorder="1" applyAlignment="1" applyProtection="1">
      <alignment horizontal="left"/>
    </xf>
    <xf numFmtId="0" fontId="5" fillId="0" borderId="4" xfId="67" applyFont="1" applyFill="1" applyBorder="1" applyAlignment="1" applyProtection="1">
      <alignment horizontal="left"/>
    </xf>
    <xf numFmtId="0" fontId="42" fillId="0" borderId="39" xfId="0" applyFont="1" applyFill="1" applyBorder="1" applyAlignment="1" applyProtection="1">
      <alignment horizontal="right" vertical="center"/>
    </xf>
    <xf numFmtId="0" fontId="42" fillId="0" borderId="25" xfId="0" applyFont="1" applyFill="1" applyBorder="1" applyAlignment="1" applyProtection="1">
      <alignment horizontal="right" vertical="center"/>
    </xf>
    <xf numFmtId="0" fontId="69" fillId="0" borderId="0" xfId="68" applyFont="1" applyFill="1" applyBorder="1" applyAlignment="1" applyProtection="1">
      <alignment horizontal="right" vertical="center"/>
    </xf>
    <xf numFmtId="0" fontId="69" fillId="0" borderId="13" xfId="68" applyFont="1" applyFill="1" applyBorder="1" applyAlignment="1" applyProtection="1">
      <alignment horizontal="right" vertical="center"/>
    </xf>
    <xf numFmtId="0" fontId="68" fillId="0" borderId="14" xfId="68" applyFont="1" applyFill="1" applyBorder="1" applyAlignment="1" applyProtection="1">
      <alignment horizontal="left"/>
    </xf>
    <xf numFmtId="0" fontId="68" fillId="0" borderId="0" xfId="68" applyFont="1" applyFill="1" applyBorder="1" applyAlignment="1" applyProtection="1">
      <alignment horizontal="left"/>
    </xf>
    <xf numFmtId="0" fontId="68" fillId="0" borderId="13" xfId="68" applyFont="1" applyFill="1" applyBorder="1" applyAlignment="1" applyProtection="1">
      <alignment horizontal="left"/>
    </xf>
    <xf numFmtId="165" fontId="3" fillId="29" borderId="6" xfId="0" applyNumberFormat="1" applyFont="1" applyFill="1" applyBorder="1" applyAlignment="1" applyProtection="1">
      <alignment horizontal="right" vertical="center"/>
    </xf>
    <xf numFmtId="0" fontId="68" fillId="0" borderId="0" xfId="66" applyFont="1" applyFill="1" applyAlignment="1" applyProtection="1">
      <alignment horizontal="center" vertical="center" wrapText="1"/>
    </xf>
    <xf numFmtId="164" fontId="3" fillId="29" borderId="22" xfId="0" applyNumberFormat="1" applyFont="1" applyFill="1" applyBorder="1" applyAlignment="1" applyProtection="1">
      <alignment horizontal="right" vertical="center"/>
    </xf>
    <xf numFmtId="164" fontId="3" fillId="29" borderId="21" xfId="0" applyNumberFormat="1" applyFont="1" applyFill="1" applyBorder="1" applyAlignment="1" applyProtection="1">
      <alignment horizontal="right" vertical="center"/>
    </xf>
    <xf numFmtId="0" fontId="42" fillId="0" borderId="0" xfId="0" applyFont="1" applyFill="1" applyBorder="1" applyAlignment="1" applyProtection="1">
      <alignment horizontal="right" vertical="center"/>
    </xf>
    <xf numFmtId="165" fontId="81" fillId="29" borderId="70" xfId="0" applyNumberFormat="1" applyFont="1" applyFill="1" applyBorder="1" applyAlignment="1" applyProtection="1">
      <alignment horizontal="right" vertical="center"/>
    </xf>
    <xf numFmtId="165" fontId="81" fillId="29" borderId="50" xfId="0" applyNumberFormat="1" applyFont="1" applyFill="1" applyBorder="1" applyAlignment="1" applyProtection="1">
      <alignment horizontal="right" vertical="center"/>
    </xf>
    <xf numFmtId="164" fontId="81" fillId="29" borderId="22" xfId="0" applyNumberFormat="1" applyFont="1" applyFill="1" applyBorder="1" applyAlignment="1" applyProtection="1">
      <alignment horizontal="right" vertical="center"/>
    </xf>
    <xf numFmtId="164" fontId="81" fillId="29" borderId="21" xfId="0" applyNumberFormat="1" applyFont="1" applyFill="1" applyBorder="1" applyAlignment="1" applyProtection="1">
      <alignment horizontal="right" vertical="center"/>
    </xf>
    <xf numFmtId="0" fontId="81" fillId="0" borderId="14" xfId="0" applyFont="1" applyFill="1" applyBorder="1" applyAlignment="1" applyProtection="1">
      <alignment horizontal="right" vertical="center"/>
    </xf>
    <xf numFmtId="0" fontId="81" fillId="0" borderId="0" xfId="0" applyFont="1" applyFill="1" applyBorder="1" applyAlignment="1" applyProtection="1">
      <alignment horizontal="right" vertical="center"/>
    </xf>
    <xf numFmtId="0" fontId="81" fillId="0" borderId="33" xfId="0" applyFont="1" applyFill="1" applyBorder="1" applyAlignment="1" applyProtection="1">
      <alignment horizontal="right" vertical="center"/>
    </xf>
    <xf numFmtId="0" fontId="5" fillId="0" borderId="15" xfId="67" applyFill="1" applyBorder="1" applyAlignment="1" applyProtection="1">
      <alignment horizontal="left"/>
    </xf>
    <xf numFmtId="0" fontId="5" fillId="0" borderId="4" xfId="67" applyFill="1" applyBorder="1" applyAlignment="1" applyProtection="1">
      <alignment horizontal="left"/>
    </xf>
    <xf numFmtId="178" fontId="3" fillId="0" borderId="4" xfId="69" applyNumberFormat="1" applyFont="1" applyFill="1" applyBorder="1" applyAlignment="1" applyProtection="1">
      <alignment horizontal="center"/>
    </xf>
    <xf numFmtId="178" fontId="8" fillId="0" borderId="4" xfId="69" applyNumberFormat="1" applyFill="1" applyBorder="1" applyAlignment="1" applyProtection="1">
      <alignment horizontal="center"/>
    </xf>
    <xf numFmtId="164" fontId="68" fillId="0" borderId="38" xfId="0" applyNumberFormat="1" applyFont="1" applyFill="1" applyBorder="1" applyAlignment="1" applyProtection="1">
      <alignment horizontal="right" vertical="center"/>
    </xf>
    <xf numFmtId="179" fontId="8" fillId="0" borderId="4" xfId="71" applyNumberFormat="1" applyFill="1" applyBorder="1" applyAlignment="1" applyProtection="1">
      <alignment horizontal="center"/>
    </xf>
    <xf numFmtId="0" fontId="81" fillId="0" borderId="14" xfId="67" applyFont="1" applyFill="1" applyBorder="1" applyAlignment="1" applyProtection="1">
      <alignment horizontal="right" vertical="center"/>
    </xf>
    <xf numFmtId="0" fontId="81" fillId="0" borderId="0" xfId="67" applyFont="1" applyFill="1" applyBorder="1" applyAlignment="1" applyProtection="1">
      <alignment horizontal="right" vertical="center"/>
    </xf>
    <xf numFmtId="0" fontId="81" fillId="0" borderId="33" xfId="67" applyFont="1" applyFill="1" applyBorder="1" applyAlignment="1" applyProtection="1">
      <alignment horizontal="right" vertical="center"/>
    </xf>
    <xf numFmtId="0" fontId="68" fillId="0" borderId="39" xfId="68" applyFont="1" applyFill="1" applyBorder="1" applyAlignment="1" applyProtection="1">
      <alignment horizontal="right" vertical="center"/>
    </xf>
    <xf numFmtId="0" fontId="68" fillId="0" borderId="38" xfId="68" applyFont="1" applyFill="1" applyBorder="1" applyAlignment="1" applyProtection="1">
      <alignment horizontal="right" vertical="center"/>
    </xf>
    <xf numFmtId="0" fontId="68" fillId="0" borderId="25" xfId="68" applyFont="1" applyFill="1" applyBorder="1" applyAlignment="1" applyProtection="1">
      <alignment horizontal="right" vertical="center"/>
    </xf>
    <xf numFmtId="0" fontId="3" fillId="0" borderId="26" xfId="68" applyFont="1" applyFill="1" applyBorder="1" applyAlignment="1" applyProtection="1">
      <alignment horizontal="left" vertical="center"/>
    </xf>
    <xf numFmtId="0" fontId="3" fillId="0" borderId="16" xfId="68" applyFont="1" applyFill="1" applyBorder="1" applyAlignment="1" applyProtection="1">
      <alignment horizontal="left" vertical="center"/>
    </xf>
    <xf numFmtId="0" fontId="3" fillId="0" borderId="21" xfId="68" applyFont="1" applyFill="1" applyBorder="1" applyAlignment="1" applyProtection="1">
      <alignment horizontal="left" vertical="center"/>
    </xf>
    <xf numFmtId="164" fontId="3" fillId="29" borderId="6" xfId="0" applyNumberFormat="1" applyFont="1" applyFill="1" applyBorder="1" applyAlignment="1" applyProtection="1">
      <alignment horizontal="right" vertical="center"/>
    </xf>
    <xf numFmtId="164" fontId="3" fillId="29" borderId="54" xfId="0" applyNumberFormat="1" applyFont="1" applyFill="1" applyBorder="1" applyAlignment="1" applyProtection="1">
      <alignment horizontal="right" vertical="center"/>
    </xf>
    <xf numFmtId="164" fontId="81" fillId="29" borderId="36" xfId="0" applyNumberFormat="1" applyFont="1" applyFill="1" applyBorder="1" applyAlignment="1" applyProtection="1">
      <alignment horizontal="right" vertical="center"/>
    </xf>
    <xf numFmtId="164" fontId="86" fillId="29" borderId="6" xfId="0" applyNumberFormat="1" applyFont="1" applyFill="1" applyBorder="1" applyAlignment="1" applyProtection="1">
      <alignment horizontal="right" vertical="center"/>
    </xf>
    <xf numFmtId="164" fontId="86" fillId="29" borderId="22" xfId="0" applyNumberFormat="1" applyFont="1" applyFill="1" applyBorder="1" applyAlignment="1" applyProtection="1">
      <alignment horizontal="right" vertical="center"/>
    </xf>
    <xf numFmtId="164" fontId="86" fillId="29" borderId="21" xfId="0" applyNumberFormat="1" applyFont="1" applyFill="1" applyBorder="1" applyAlignment="1" applyProtection="1">
      <alignment horizontal="right" vertical="center"/>
    </xf>
    <xf numFmtId="0" fontId="3" fillId="0" borderId="15" xfId="68" applyFont="1" applyFill="1" applyBorder="1" applyAlignment="1" applyProtection="1">
      <alignment horizontal="left" vertical="center"/>
    </xf>
    <xf numFmtId="0" fontId="3" fillId="0" borderId="4" xfId="68" applyFont="1" applyFill="1" applyBorder="1" applyAlignment="1" applyProtection="1">
      <alignment horizontal="left" vertical="center"/>
    </xf>
    <xf numFmtId="0" fontId="3" fillId="0" borderId="23" xfId="68" applyFont="1" applyFill="1" applyBorder="1" applyAlignment="1" applyProtection="1">
      <alignment horizontal="left" vertical="center"/>
    </xf>
    <xf numFmtId="164" fontId="81" fillId="29" borderId="28" xfId="0" applyNumberFormat="1" applyFont="1" applyFill="1" applyBorder="1" applyAlignment="1" applyProtection="1">
      <alignment horizontal="right" vertical="center"/>
    </xf>
    <xf numFmtId="164" fontId="81" fillId="29" borderId="29" xfId="0" applyNumberFormat="1" applyFont="1" applyFill="1" applyBorder="1" applyAlignment="1" applyProtection="1">
      <alignment horizontal="right" vertical="center"/>
    </xf>
    <xf numFmtId="0" fontId="81" fillId="0" borderId="5" xfId="67" applyFont="1" applyFill="1" applyBorder="1" applyAlignment="1" applyProtection="1">
      <alignment horizontal="right" vertical="center"/>
    </xf>
    <xf numFmtId="0" fontId="81" fillId="0" borderId="68" xfId="67" applyFont="1" applyFill="1" applyBorder="1" applyAlignment="1" applyProtection="1">
      <alignment horizontal="right" vertical="center"/>
    </xf>
    <xf numFmtId="0" fontId="69" fillId="0" borderId="14" xfId="68" applyFont="1" applyFill="1" applyBorder="1" applyAlignment="1" applyProtection="1">
      <alignment horizontal="left" vertical="center"/>
    </xf>
    <xf numFmtId="0" fontId="69" fillId="0" borderId="0" xfId="68" applyFont="1" applyFill="1" applyBorder="1" applyAlignment="1" applyProtection="1">
      <alignment horizontal="left" vertical="center"/>
    </xf>
    <xf numFmtId="0" fontId="69" fillId="0" borderId="13" xfId="68" applyFont="1" applyFill="1" applyBorder="1" applyAlignment="1" applyProtection="1">
      <alignment horizontal="left" vertical="center"/>
    </xf>
    <xf numFmtId="0" fontId="86" fillId="0" borderId="0" xfId="66" applyFont="1" applyFill="1" applyAlignment="1" applyProtection="1">
      <alignment horizontal="center" vertical="center" wrapText="1"/>
    </xf>
    <xf numFmtId="165" fontId="86" fillId="29" borderId="22" xfId="0" applyNumberFormat="1" applyFont="1" applyFill="1" applyBorder="1" applyAlignment="1" applyProtection="1">
      <alignment horizontal="right" vertical="center"/>
    </xf>
    <xf numFmtId="165" fontId="86" fillId="29" borderId="21" xfId="0" applyNumberFormat="1" applyFont="1" applyFill="1" applyBorder="1" applyAlignment="1" applyProtection="1">
      <alignment horizontal="right" vertical="center"/>
    </xf>
    <xf numFmtId="0" fontId="3" fillId="0" borderId="14" xfId="67" applyFont="1" applyFill="1" applyBorder="1" applyAlignment="1" applyProtection="1">
      <alignment horizontal="left" vertical="center"/>
    </xf>
    <xf numFmtId="164" fontId="5" fillId="0" borderId="0" xfId="0" applyNumberFormat="1" applyFont="1" applyFill="1" applyBorder="1" applyAlignment="1" applyProtection="1">
      <alignment horizontal="right" vertical="center"/>
    </xf>
    <xf numFmtId="0" fontId="81" fillId="0" borderId="0" xfId="68" applyFont="1" applyFill="1" applyBorder="1" applyAlignment="1" applyProtection="1">
      <alignment horizontal="right" vertical="center"/>
    </xf>
    <xf numFmtId="0" fontId="81" fillId="0" borderId="33" xfId="68" applyFont="1" applyFill="1" applyBorder="1" applyAlignment="1" applyProtection="1">
      <alignment horizontal="right" vertical="center"/>
    </xf>
    <xf numFmtId="0" fontId="86" fillId="0" borderId="0" xfId="0" applyFont="1" applyFill="1" applyBorder="1" applyAlignment="1" applyProtection="1">
      <alignment horizontal="center" vertical="center"/>
    </xf>
    <xf numFmtId="164" fontId="81" fillId="29" borderId="6" xfId="0" applyNumberFormat="1" applyFont="1" applyFill="1" applyBorder="1" applyAlignment="1" applyProtection="1">
      <alignment horizontal="right" vertical="center"/>
    </xf>
    <xf numFmtId="49" fontId="3" fillId="0" borderId="39" xfId="67" applyNumberFormat="1" applyFont="1" applyFill="1" applyBorder="1" applyAlignment="1" applyProtection="1">
      <alignment horizontal="left" vertical="center" wrapText="1"/>
    </xf>
    <xf numFmtId="49" fontId="3" fillId="0" borderId="15" xfId="67" applyNumberFormat="1" applyFont="1" applyFill="1" applyBorder="1" applyAlignment="1" applyProtection="1">
      <alignment horizontal="left" vertical="center" wrapText="1"/>
    </xf>
    <xf numFmtId="0" fontId="3" fillId="0" borderId="39" xfId="67" applyFont="1" applyFill="1" applyBorder="1" applyAlignment="1" applyProtection="1">
      <alignment horizontal="left" vertical="center"/>
    </xf>
    <xf numFmtId="0" fontId="42" fillId="0" borderId="30"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42" fillId="0" borderId="33" xfId="0" applyFont="1" applyFill="1" applyBorder="1" applyAlignment="1" applyProtection="1">
      <alignment horizontal="center" vertical="center"/>
    </xf>
    <xf numFmtId="0" fontId="42" fillId="0" borderId="24" xfId="0" applyFont="1" applyFill="1" applyBorder="1" applyAlignment="1" applyProtection="1">
      <alignment horizontal="center" vertical="center"/>
    </xf>
    <xf numFmtId="0" fontId="42" fillId="0" borderId="4" xfId="0" applyFont="1" applyFill="1" applyBorder="1" applyAlignment="1" applyProtection="1">
      <alignment horizontal="center" vertical="center"/>
    </xf>
    <xf numFmtId="0" fontId="42" fillId="0" borderId="23" xfId="0" applyFont="1" applyFill="1" applyBorder="1" applyAlignment="1" applyProtection="1">
      <alignment horizontal="center" vertical="center"/>
    </xf>
    <xf numFmtId="0" fontId="3" fillId="0" borderId="26" xfId="67" applyFont="1" applyFill="1" applyBorder="1" applyAlignment="1" applyProtection="1">
      <alignment horizontal="left" vertical="center" wrapText="1"/>
    </xf>
    <xf numFmtId="0" fontId="3" fillId="0" borderId="16" xfId="67" applyFont="1" applyFill="1" applyBorder="1" applyAlignment="1" applyProtection="1">
      <alignment horizontal="left" vertical="center" wrapText="1"/>
    </xf>
    <xf numFmtId="0" fontId="3" fillId="0" borderId="4" xfId="67" applyFont="1" applyFill="1" applyBorder="1" applyAlignment="1" applyProtection="1">
      <alignment horizontal="left" vertical="center" wrapText="1"/>
    </xf>
    <xf numFmtId="0" fontId="3" fillId="0" borderId="23" xfId="67" applyFont="1" applyFill="1" applyBorder="1" applyAlignment="1" applyProtection="1">
      <alignment horizontal="left" vertical="center" wrapText="1"/>
    </xf>
    <xf numFmtId="164" fontId="69" fillId="0" borderId="14" xfId="0" applyNumberFormat="1" applyFont="1" applyFill="1" applyBorder="1" applyAlignment="1" applyProtection="1">
      <alignment horizontal="right" vertical="center"/>
    </xf>
    <xf numFmtId="165" fontId="86" fillId="29" borderId="28" xfId="0" applyNumberFormat="1" applyFont="1" applyFill="1" applyBorder="1" applyAlignment="1" applyProtection="1">
      <alignment horizontal="right" vertical="center"/>
    </xf>
    <xf numFmtId="165" fontId="86" fillId="29" borderId="29" xfId="0" applyNumberFormat="1" applyFont="1" applyFill="1" applyBorder="1" applyAlignment="1" applyProtection="1">
      <alignment horizontal="right" vertical="center"/>
    </xf>
    <xf numFmtId="0" fontId="72" fillId="0" borderId="39" xfId="68" applyFont="1" applyFill="1" applyBorder="1" applyAlignment="1" applyProtection="1">
      <alignment horizontal="right" vertical="center"/>
    </xf>
    <xf numFmtId="0" fontId="72" fillId="0" borderId="38" xfId="68" applyFont="1" applyFill="1" applyBorder="1" applyAlignment="1" applyProtection="1">
      <alignment horizontal="right" vertical="center"/>
    </xf>
    <xf numFmtId="165" fontId="3" fillId="29" borderId="22" xfId="0" applyNumberFormat="1" applyFont="1" applyFill="1" applyBorder="1" applyAlignment="1" applyProtection="1">
      <alignment horizontal="right" vertical="center"/>
    </xf>
    <xf numFmtId="165" fontId="3" fillId="29" borderId="21" xfId="0" applyNumberFormat="1" applyFont="1" applyFill="1" applyBorder="1" applyAlignment="1" applyProtection="1">
      <alignment horizontal="right" vertical="center"/>
    </xf>
    <xf numFmtId="164" fontId="80" fillId="29" borderId="6" xfId="0" applyNumberFormat="1" applyFont="1" applyFill="1" applyBorder="1" applyAlignment="1" applyProtection="1">
      <alignment horizontal="right" vertical="center"/>
    </xf>
    <xf numFmtId="0" fontId="3" fillId="32" borderId="37" xfId="0" applyFont="1" applyFill="1" applyBorder="1" applyAlignment="1" applyProtection="1">
      <alignment horizontal="center" vertical="center"/>
      <protection locked="0"/>
    </xf>
    <xf numFmtId="0" fontId="3" fillId="32" borderId="36" xfId="0" applyFont="1" applyFill="1" applyBorder="1" applyAlignment="1" applyProtection="1">
      <alignment horizontal="center" vertical="center"/>
      <protection locked="0"/>
    </xf>
    <xf numFmtId="0" fontId="3" fillId="0" borderId="26" xfId="67" applyFont="1" applyFill="1" applyBorder="1" applyAlignment="1" applyProtection="1">
      <alignment horizontal="left"/>
    </xf>
    <xf numFmtId="0" fontId="3" fillId="0" borderId="16" xfId="67" applyFont="1" applyFill="1" applyBorder="1" applyAlignment="1" applyProtection="1">
      <alignment horizontal="left"/>
    </xf>
    <xf numFmtId="0" fontId="3" fillId="0" borderId="21" xfId="67" applyFont="1" applyFill="1" applyBorder="1" applyAlignment="1" applyProtection="1">
      <alignment horizontal="left"/>
    </xf>
    <xf numFmtId="0" fontId="75" fillId="0" borderId="14" xfId="0" applyFont="1" applyFill="1" applyBorder="1" applyAlignment="1" applyProtection="1">
      <alignment horizontal="left" vertical="center"/>
    </xf>
    <xf numFmtId="0" fontId="75" fillId="0" borderId="0" xfId="0" applyFont="1" applyFill="1" applyBorder="1" applyAlignment="1" applyProtection="1">
      <alignment horizontal="left" vertical="center"/>
    </xf>
    <xf numFmtId="0" fontId="75" fillId="0" borderId="4" xfId="66" applyFont="1" applyFill="1" applyBorder="1" applyAlignment="1" applyProtection="1">
      <alignment horizontal="center" vertical="center" wrapText="1"/>
    </xf>
    <xf numFmtId="0" fontId="3" fillId="32" borderId="37" xfId="0" applyNumberFormat="1" applyFont="1" applyFill="1" applyBorder="1" applyAlignment="1" applyProtection="1">
      <alignment horizontal="center" vertical="center"/>
      <protection locked="0"/>
    </xf>
    <xf numFmtId="0" fontId="3" fillId="32" borderId="36" xfId="0" applyNumberFormat="1" applyFont="1" applyFill="1" applyBorder="1" applyAlignment="1" applyProtection="1">
      <alignment horizontal="center" vertical="center"/>
      <protection locked="0"/>
    </xf>
    <xf numFmtId="0" fontId="3" fillId="0" borderId="0" xfId="67" applyFont="1" applyFill="1" applyBorder="1" applyAlignment="1" applyProtection="1">
      <alignment horizontal="left" vertical="center"/>
    </xf>
    <xf numFmtId="0" fontId="3" fillId="0" borderId="33" xfId="67" applyFont="1" applyFill="1" applyBorder="1" applyAlignment="1" applyProtection="1">
      <alignment horizontal="left" vertical="center"/>
    </xf>
    <xf numFmtId="177" fontId="8" fillId="32" borderId="6" xfId="71" applyNumberFormat="1" applyFont="1" applyFill="1" applyBorder="1" applyAlignment="1" applyProtection="1">
      <alignment horizontal="center" vertical="center"/>
      <protection locked="0"/>
    </xf>
    <xf numFmtId="0" fontId="91" fillId="0" borderId="14" xfId="68" applyFont="1" applyFill="1" applyBorder="1" applyAlignment="1" applyProtection="1">
      <alignment horizontal="left"/>
    </xf>
    <xf numFmtId="0" fontId="91" fillId="0" borderId="0" xfId="68" applyFont="1" applyFill="1" applyBorder="1" applyAlignment="1" applyProtection="1">
      <alignment horizontal="left"/>
    </xf>
    <xf numFmtId="0" fontId="91" fillId="0" borderId="13" xfId="68" applyFont="1" applyFill="1" applyBorder="1" applyAlignment="1" applyProtection="1">
      <alignment horizontal="left"/>
    </xf>
    <xf numFmtId="0" fontId="24" fillId="0" borderId="15" xfId="67" applyFont="1" applyFill="1" applyBorder="1" applyAlignment="1" applyProtection="1">
      <alignment horizontal="left" vertical="center"/>
    </xf>
    <xf numFmtId="0" fontId="24" fillId="0" borderId="4" xfId="67" applyFont="1" applyFill="1" applyBorder="1" applyAlignment="1" applyProtection="1">
      <alignment horizontal="left" vertical="center"/>
    </xf>
    <xf numFmtId="0" fontId="24" fillId="0" borderId="23" xfId="67" applyFont="1" applyFill="1" applyBorder="1" applyAlignment="1" applyProtection="1">
      <alignment horizontal="left" vertical="center"/>
    </xf>
    <xf numFmtId="0" fontId="72" fillId="0" borderId="14" xfId="68" applyFont="1" applyFill="1" applyBorder="1" applyAlignment="1" applyProtection="1">
      <alignment horizontal="left"/>
    </xf>
    <xf numFmtId="0" fontId="72" fillId="0" borderId="0" xfId="68" applyFont="1" applyFill="1" applyBorder="1" applyAlignment="1" applyProtection="1">
      <alignment horizontal="left"/>
    </xf>
    <xf numFmtId="0" fontId="72" fillId="0" borderId="13" xfId="68" applyFont="1" applyFill="1" applyBorder="1" applyAlignment="1" applyProtection="1">
      <alignment horizontal="left"/>
    </xf>
    <xf numFmtId="0" fontId="75" fillId="0" borderId="14" xfId="0" applyFont="1" applyFill="1" applyBorder="1" applyAlignment="1" applyProtection="1">
      <alignment horizontal="left"/>
    </xf>
    <xf numFmtId="0" fontId="75" fillId="0" borderId="0" xfId="0" applyFont="1" applyFill="1" applyBorder="1" applyAlignment="1" applyProtection="1">
      <alignment horizontal="left"/>
    </xf>
    <xf numFmtId="0" fontId="75" fillId="0" borderId="13" xfId="0" applyFont="1" applyFill="1" applyBorder="1" applyAlignment="1" applyProtection="1">
      <alignment horizontal="left"/>
    </xf>
    <xf numFmtId="0" fontId="74" fillId="0" borderId="18" xfId="0" applyFont="1" applyFill="1" applyBorder="1" applyAlignment="1" applyProtection="1">
      <alignment horizontal="left" vertical="center"/>
    </xf>
    <xf numFmtId="166" fontId="3" fillId="0" borderId="26" xfId="76" applyFont="1" applyFill="1" applyBorder="1" applyAlignment="1" applyProtection="1">
      <alignment horizontal="left" vertical="center"/>
    </xf>
    <xf numFmtId="166" fontId="3" fillId="0" borderId="21" xfId="76" applyFont="1" applyFill="1" applyBorder="1" applyAlignment="1" applyProtection="1">
      <alignment horizontal="left" vertical="center"/>
    </xf>
    <xf numFmtId="166" fontId="57" fillId="0" borderId="52" xfId="76" applyFont="1" applyFill="1" applyBorder="1" applyAlignment="1" applyProtection="1">
      <alignment horizontal="center" vertical="center"/>
    </xf>
    <xf numFmtId="166" fontId="57" fillId="0" borderId="29" xfId="76" applyFont="1" applyFill="1" applyBorder="1" applyAlignment="1" applyProtection="1">
      <alignment horizontal="center" vertical="center"/>
    </xf>
    <xf numFmtId="0" fontId="90" fillId="0" borderId="0" xfId="58" applyFont="1" applyFill="1" applyBorder="1" applyAlignment="1" applyProtection="1">
      <alignment horizontal="center" vertical="center" wrapText="1"/>
    </xf>
    <xf numFmtId="8" fontId="3" fillId="0" borderId="70" xfId="76" applyNumberFormat="1" applyFont="1" applyFill="1" applyBorder="1" applyAlignment="1" applyProtection="1">
      <alignment horizontal="right" vertical="center"/>
    </xf>
    <xf numFmtId="8" fontId="3" fillId="0" borderId="50" xfId="76" applyNumberFormat="1" applyFont="1" applyFill="1" applyBorder="1" applyAlignment="1" applyProtection="1">
      <alignment horizontal="right" vertical="center"/>
    </xf>
    <xf numFmtId="8" fontId="80" fillId="27" borderId="70" xfId="76" applyNumberFormat="1" applyFont="1" applyFill="1" applyBorder="1" applyAlignment="1" applyProtection="1">
      <alignment horizontal="right" vertical="center"/>
    </xf>
    <xf numFmtId="8" fontId="80" fillId="27" borderId="50" xfId="76" applyNumberFormat="1" applyFont="1" applyFill="1" applyBorder="1" applyAlignment="1" applyProtection="1">
      <alignment horizontal="right" vertical="center"/>
    </xf>
    <xf numFmtId="166" fontId="3" fillId="0" borderId="16" xfId="76" applyFont="1" applyFill="1" applyBorder="1" applyAlignment="1" applyProtection="1">
      <alignment horizontal="left" vertical="center"/>
    </xf>
    <xf numFmtId="166" fontId="3" fillId="0" borderId="31" xfId="76" applyFont="1" applyFill="1" applyBorder="1" applyAlignment="1" applyProtection="1">
      <alignment horizontal="left" vertical="center"/>
    </xf>
    <xf numFmtId="166" fontId="3" fillId="0" borderId="40" xfId="76" applyFont="1" applyFill="1" applyBorder="1" applyAlignment="1" applyProtection="1">
      <alignment horizontal="left" vertical="center"/>
    </xf>
    <xf numFmtId="166" fontId="92" fillId="0" borderId="18" xfId="76" applyFont="1" applyFill="1" applyBorder="1" applyAlignment="1" applyProtection="1">
      <alignment horizontal="center" vertical="center"/>
    </xf>
    <xf numFmtId="166" fontId="3" fillId="0" borderId="69" xfId="76" applyFont="1" applyFill="1" applyBorder="1" applyAlignment="1" applyProtection="1">
      <alignment horizontal="left" vertical="center"/>
    </xf>
    <xf numFmtId="166" fontId="3" fillId="0" borderId="39" xfId="76" applyFont="1" applyFill="1" applyBorder="1" applyAlignment="1" applyProtection="1">
      <alignment horizontal="left" vertical="center" wrapText="1"/>
    </xf>
    <xf numFmtId="166" fontId="3" fillId="0" borderId="38" xfId="76" applyFont="1" applyFill="1" applyBorder="1" applyAlignment="1" applyProtection="1">
      <alignment horizontal="left" vertical="center" wrapText="1"/>
    </xf>
    <xf numFmtId="166" fontId="3" fillId="0" borderId="25" xfId="76" applyFont="1" applyFill="1" applyBorder="1" applyAlignment="1" applyProtection="1">
      <alignment horizontal="left" vertical="center" wrapText="1"/>
    </xf>
    <xf numFmtId="166" fontId="3" fillId="0" borderId="15" xfId="76" applyFont="1" applyFill="1" applyBorder="1" applyAlignment="1" applyProtection="1">
      <alignment horizontal="left" vertical="center" wrapText="1"/>
    </xf>
    <xf numFmtId="166" fontId="3" fillId="0" borderId="4" xfId="76" applyFont="1" applyFill="1" applyBorder="1" applyAlignment="1" applyProtection="1">
      <alignment horizontal="left" vertical="center" wrapText="1"/>
    </xf>
    <xf numFmtId="166" fontId="3" fillId="0" borderId="23" xfId="76" applyFont="1" applyFill="1" applyBorder="1" applyAlignment="1" applyProtection="1">
      <alignment horizontal="left" vertical="center" wrapText="1"/>
    </xf>
    <xf numFmtId="166" fontId="57" fillId="0" borderId="53" xfId="76" applyFont="1" applyFill="1" applyBorder="1" applyAlignment="1" applyProtection="1">
      <alignment horizontal="center" vertical="center"/>
    </xf>
    <xf numFmtId="166" fontId="22" fillId="27" borderId="70" xfId="76" applyFont="1" applyFill="1" applyBorder="1" applyAlignment="1" applyProtection="1">
      <alignment horizontal="center" vertical="center"/>
      <protection hidden="1"/>
    </xf>
    <xf numFmtId="166" fontId="22" fillId="27" borderId="50" xfId="76" applyFont="1" applyFill="1" applyBorder="1" applyAlignment="1" applyProtection="1">
      <alignment horizontal="center" vertical="center"/>
      <protection hidden="1"/>
    </xf>
    <xf numFmtId="166" fontId="3" fillId="27" borderId="70" xfId="76" applyFont="1" applyFill="1" applyBorder="1" applyAlignment="1" applyProtection="1">
      <alignment horizontal="center" vertical="center"/>
      <protection hidden="1"/>
    </xf>
    <xf numFmtId="166" fontId="3" fillId="27" borderId="50" xfId="76" applyFont="1" applyFill="1" applyBorder="1" applyAlignment="1" applyProtection="1">
      <alignment horizontal="center" vertical="center"/>
      <protection hidden="1"/>
    </xf>
    <xf numFmtId="166" fontId="22" fillId="0" borderId="16" xfId="76" applyFont="1" applyFill="1" applyBorder="1" applyAlignment="1" applyProtection="1">
      <alignment horizontal="left" vertical="center"/>
    </xf>
    <xf numFmtId="166" fontId="5" fillId="0" borderId="70" xfId="76" applyFont="1" applyFill="1" applyBorder="1" applyAlignment="1" applyProtection="1">
      <alignment horizontal="left" vertical="center"/>
    </xf>
    <xf numFmtId="166" fontId="5" fillId="0" borderId="50" xfId="76" applyFont="1" applyFill="1" applyBorder="1" applyAlignment="1" applyProtection="1">
      <alignment horizontal="left" vertical="center"/>
    </xf>
    <xf numFmtId="166" fontId="3" fillId="0" borderId="53" xfId="76" applyFont="1" applyFill="1" applyBorder="1" applyAlignment="1" applyProtection="1">
      <alignment horizontal="left" vertical="center"/>
    </xf>
    <xf numFmtId="166" fontId="5" fillId="0" borderId="0" xfId="76" applyFont="1" applyFill="1" applyBorder="1" applyAlignment="1" applyProtection="1">
      <alignment horizontal="center" vertical="center"/>
    </xf>
    <xf numFmtId="2" fontId="3" fillId="32" borderId="37" xfId="76" applyNumberFormat="1" applyFont="1" applyFill="1" applyBorder="1" applyAlignment="1" applyProtection="1">
      <alignment horizontal="right" vertical="center"/>
      <protection locked="0"/>
    </xf>
    <xf numFmtId="2" fontId="3" fillId="32" borderId="36" xfId="76" applyNumberFormat="1" applyFont="1" applyFill="1" applyBorder="1" applyAlignment="1" applyProtection="1">
      <alignment horizontal="right" vertical="center"/>
      <protection locked="0"/>
    </xf>
    <xf numFmtId="166" fontId="93" fillId="0" borderId="0" xfId="76" applyFont="1" applyFill="1" applyAlignment="1" applyProtection="1">
      <alignment horizontal="left" vertical="center"/>
    </xf>
    <xf numFmtId="166" fontId="83" fillId="0" borderId="0" xfId="76" applyFont="1" applyFill="1" applyAlignment="1" applyProtection="1">
      <alignment horizontal="left" vertical="center"/>
    </xf>
    <xf numFmtId="166" fontId="83" fillId="0" borderId="0" xfId="76" applyFont="1" applyFill="1" applyAlignment="1" applyProtection="1">
      <alignment horizontal="left" vertical="center" wrapText="1"/>
    </xf>
    <xf numFmtId="166" fontId="94" fillId="0" borderId="0" xfId="76" applyFont="1" applyFill="1" applyAlignment="1" applyProtection="1">
      <alignment horizontal="left" vertical="center"/>
    </xf>
    <xf numFmtId="166" fontId="94" fillId="0" borderId="13" xfId="76" applyFont="1" applyFill="1" applyBorder="1" applyAlignment="1" applyProtection="1">
      <alignment horizontal="left" vertical="center"/>
    </xf>
    <xf numFmtId="166" fontId="5" fillId="0" borderId="27" xfId="76" applyFont="1" applyFill="1" applyBorder="1" applyAlignment="1" applyProtection="1">
      <alignment horizontal="left" vertical="center"/>
    </xf>
    <xf numFmtId="166" fontId="5" fillId="0" borderId="75" xfId="76" applyFont="1" applyFill="1" applyBorder="1" applyAlignment="1" applyProtection="1">
      <alignment horizontal="left" vertical="center"/>
    </xf>
    <xf numFmtId="166" fontId="83" fillId="0" borderId="13" xfId="76" applyFont="1" applyFill="1" applyBorder="1" applyAlignment="1" applyProtection="1">
      <alignment horizontal="left" vertical="center"/>
    </xf>
    <xf numFmtId="166" fontId="95" fillId="0" borderId="0" xfId="76" applyFont="1" applyFill="1" applyBorder="1" applyAlignment="1" applyProtection="1">
      <alignment horizontal="right" vertical="center"/>
    </xf>
    <xf numFmtId="166" fontId="95" fillId="0" borderId="13" xfId="76" applyFont="1" applyFill="1" applyBorder="1" applyAlignment="1" applyProtection="1">
      <alignment horizontal="right" vertical="center"/>
    </xf>
    <xf numFmtId="166" fontId="5" fillId="0" borderId="0" xfId="76" applyFont="1" applyFill="1" applyAlignment="1" applyProtection="1">
      <alignment horizontal="right" vertical="center"/>
    </xf>
    <xf numFmtId="166" fontId="5" fillId="0" borderId="13" xfId="76" applyFont="1" applyFill="1" applyBorder="1" applyAlignment="1" applyProtection="1">
      <alignment horizontal="right" vertical="center"/>
    </xf>
    <xf numFmtId="166" fontId="83" fillId="0" borderId="0" xfId="76" applyFont="1" applyFill="1" applyBorder="1" applyAlignment="1" applyProtection="1">
      <alignment horizontal="left" vertical="center"/>
    </xf>
    <xf numFmtId="167" fontId="81" fillId="30" borderId="70" xfId="0" applyNumberFormat="1" applyFont="1" applyFill="1" applyBorder="1" applyAlignment="1">
      <alignment horizontal="right"/>
    </xf>
    <xf numFmtId="167" fontId="81" fillId="30" borderId="27" xfId="0" applyNumberFormat="1" applyFont="1" applyFill="1" applyBorder="1" applyAlignment="1">
      <alignment horizontal="right"/>
    </xf>
    <xf numFmtId="167" fontId="81" fillId="30" borderId="50" xfId="0" applyNumberFormat="1" applyFont="1" applyFill="1" applyBorder="1" applyAlignment="1">
      <alignment horizontal="right"/>
    </xf>
    <xf numFmtId="166" fontId="5" fillId="0" borderId="52" xfId="76" applyFont="1" applyFill="1" applyBorder="1" applyAlignment="1" applyProtection="1">
      <alignment horizontal="left"/>
    </xf>
    <xf numFmtId="166" fontId="5" fillId="0" borderId="53" xfId="76" applyFont="1" applyFill="1" applyBorder="1" applyAlignment="1" applyProtection="1">
      <alignment horizontal="left"/>
    </xf>
    <xf numFmtId="166" fontId="5" fillId="0" borderId="60" xfId="76" applyFont="1" applyFill="1" applyBorder="1" applyAlignment="1" applyProtection="1">
      <alignment horizontal="left"/>
    </xf>
    <xf numFmtId="166" fontId="80" fillId="0" borderId="18" xfId="76" applyFont="1" applyFill="1" applyBorder="1" applyAlignment="1" applyProtection="1">
      <alignment horizontal="center" vertical="center"/>
    </xf>
    <xf numFmtId="166" fontId="3" fillId="0" borderId="39" xfId="76" applyFont="1" applyFill="1" applyBorder="1" applyAlignment="1" applyProtection="1">
      <alignment horizontal="left" vertical="center"/>
    </xf>
    <xf numFmtId="166" fontId="3" fillId="0" borderId="38" xfId="76" applyFont="1" applyFill="1" applyBorder="1" applyAlignment="1" applyProtection="1">
      <alignment horizontal="left" vertical="center"/>
    </xf>
    <xf numFmtId="166" fontId="3" fillId="0" borderId="25" xfId="76" applyFont="1" applyFill="1" applyBorder="1" applyAlignment="1" applyProtection="1">
      <alignment horizontal="left" vertical="center"/>
    </xf>
    <xf numFmtId="166" fontId="81" fillId="0" borderId="0" xfId="76" applyFont="1" applyFill="1" applyBorder="1" applyAlignment="1" applyProtection="1">
      <alignment horizontal="right" vertical="center"/>
    </xf>
    <xf numFmtId="166" fontId="81" fillId="0" borderId="13" xfId="76" applyFont="1" applyFill="1" applyBorder="1" applyAlignment="1" applyProtection="1">
      <alignment horizontal="right" vertical="center"/>
    </xf>
    <xf numFmtId="166" fontId="80" fillId="0" borderId="0" xfId="76" applyFont="1" applyFill="1" applyBorder="1" applyAlignment="1" applyProtection="1">
      <alignment horizontal="left" vertical="center" wrapText="1"/>
    </xf>
    <xf numFmtId="166" fontId="80" fillId="0" borderId="33" xfId="76" applyFont="1" applyFill="1" applyBorder="1" applyAlignment="1" applyProtection="1">
      <alignment horizontal="left" vertical="center" wrapText="1"/>
    </xf>
    <xf numFmtId="166" fontId="80" fillId="0" borderId="18" xfId="76" applyFont="1" applyFill="1" applyBorder="1" applyAlignment="1" applyProtection="1">
      <alignment horizontal="left" vertical="center" wrapText="1"/>
    </xf>
    <xf numFmtId="166" fontId="80" fillId="0" borderId="76" xfId="76" applyFont="1" applyFill="1" applyBorder="1" applyAlignment="1" applyProtection="1">
      <alignment horizontal="left" vertical="center" wrapText="1"/>
    </xf>
    <xf numFmtId="166" fontId="5" fillId="0" borderId="0" xfId="76" applyFont="1" applyFill="1" applyAlignment="1" applyProtection="1">
      <alignment horizontal="left" vertical="center"/>
    </xf>
    <xf numFmtId="166" fontId="5" fillId="0" borderId="13" xfId="76" applyFont="1" applyFill="1" applyBorder="1" applyAlignment="1" applyProtection="1">
      <alignment horizontal="left" vertical="center"/>
    </xf>
    <xf numFmtId="166" fontId="3" fillId="0" borderId="70" xfId="76" applyFont="1" applyFill="1" applyBorder="1" applyAlignment="1" applyProtection="1">
      <alignment horizontal="left" vertical="center"/>
    </xf>
    <xf numFmtId="166" fontId="3" fillId="0" borderId="27" xfId="76" applyFont="1" applyFill="1" applyBorder="1" applyAlignment="1" applyProtection="1">
      <alignment horizontal="left" vertical="center"/>
    </xf>
    <xf numFmtId="166" fontId="3" fillId="0" borderId="50" xfId="76" applyFont="1" applyFill="1" applyBorder="1" applyAlignment="1" applyProtection="1">
      <alignment horizontal="left" vertical="center"/>
    </xf>
    <xf numFmtId="166" fontId="93" fillId="0" borderId="0" xfId="76" applyFont="1" applyFill="1" applyBorder="1" applyAlignment="1" applyProtection="1">
      <alignment horizontal="left" vertical="center"/>
    </xf>
    <xf numFmtId="166" fontId="3" fillId="0" borderId="28" xfId="76" applyFont="1" applyFill="1" applyBorder="1" applyAlignment="1" applyProtection="1">
      <alignment horizontal="left" vertical="center"/>
    </xf>
    <xf numFmtId="166" fontId="3" fillId="0" borderId="29" xfId="76" applyFont="1" applyFill="1" applyBorder="1" applyAlignment="1" applyProtection="1">
      <alignment horizontal="left" vertical="center"/>
    </xf>
    <xf numFmtId="166" fontId="3" fillId="0" borderId="67" xfId="76" applyFont="1" applyFill="1" applyBorder="1" applyAlignment="1" applyProtection="1">
      <alignment horizontal="left" vertical="center"/>
    </xf>
    <xf numFmtId="166" fontId="5" fillId="0" borderId="52" xfId="76" applyFont="1" applyFill="1" applyBorder="1" applyAlignment="1" applyProtection="1">
      <alignment horizontal="left" vertical="center"/>
    </xf>
    <xf numFmtId="166" fontId="5" fillId="0" borderId="53" xfId="76" applyFont="1" applyFill="1" applyBorder="1" applyAlignment="1" applyProtection="1">
      <alignment horizontal="left" vertical="center"/>
    </xf>
    <xf numFmtId="166" fontId="5" fillId="0" borderId="60" xfId="76" applyFont="1" applyFill="1" applyBorder="1" applyAlignment="1" applyProtection="1">
      <alignment horizontal="left" vertical="center"/>
    </xf>
    <xf numFmtId="166" fontId="5" fillId="0" borderId="29" xfId="76" applyFont="1" applyFill="1" applyBorder="1" applyAlignment="1" applyProtection="1">
      <alignment horizontal="left" vertical="center"/>
    </xf>
    <xf numFmtId="166" fontId="55" fillId="0" borderId="20" xfId="76" applyFont="1" applyFill="1" applyBorder="1" applyAlignment="1" applyProtection="1">
      <alignment horizontal="left" vertical="center" wrapText="1"/>
    </xf>
    <xf numFmtId="166" fontId="55" fillId="0" borderId="68" xfId="76" applyFont="1" applyFill="1" applyBorder="1" applyAlignment="1" applyProtection="1">
      <alignment horizontal="left" vertical="center" wrapText="1"/>
    </xf>
    <xf numFmtId="166" fontId="55" fillId="0" borderId="17" xfId="76" applyFont="1" applyFill="1" applyBorder="1" applyAlignment="1" applyProtection="1">
      <alignment horizontal="left" vertical="center" wrapText="1"/>
    </xf>
    <xf numFmtId="166" fontId="55" fillId="0" borderId="76" xfId="76" applyFont="1" applyFill="1" applyBorder="1" applyAlignment="1" applyProtection="1">
      <alignment horizontal="left" vertical="center" wrapText="1"/>
    </xf>
    <xf numFmtId="166" fontId="57" fillId="0" borderId="52" xfId="76" applyFont="1" applyFill="1" applyBorder="1" applyAlignment="1" applyProtection="1">
      <alignment horizontal="left" vertical="center"/>
    </xf>
    <xf numFmtId="166" fontId="57" fillId="0" borderId="29" xfId="76" applyFont="1" applyFill="1" applyBorder="1" applyAlignment="1" applyProtection="1">
      <alignment horizontal="left" vertical="center"/>
    </xf>
    <xf numFmtId="166" fontId="57" fillId="0" borderId="53" xfId="76" applyFont="1" applyFill="1" applyBorder="1" applyAlignment="1" applyProtection="1">
      <alignment horizontal="left" vertical="center"/>
    </xf>
    <xf numFmtId="166" fontId="69" fillId="0" borderId="0" xfId="76" applyFont="1" applyFill="1" applyBorder="1" applyAlignment="1" applyProtection="1">
      <alignment horizontal="left" vertical="center"/>
    </xf>
    <xf numFmtId="166" fontId="3" fillId="0" borderId="18" xfId="76" applyFont="1" applyFill="1" applyBorder="1" applyAlignment="1" applyProtection="1">
      <alignment horizontal="left" vertical="center"/>
    </xf>
    <xf numFmtId="166" fontId="5" fillId="0" borderId="71" xfId="76" applyFont="1" applyFill="1" applyBorder="1" applyAlignment="1" applyProtection="1">
      <alignment horizontal="center" vertical="center" textRotation="90" wrapText="1"/>
    </xf>
    <xf numFmtId="166" fontId="5" fillId="0" borderId="35" xfId="76" applyFont="1" applyFill="1" applyBorder="1" applyAlignment="1" applyProtection="1">
      <alignment horizontal="center" vertical="center" textRotation="90"/>
    </xf>
    <xf numFmtId="166" fontId="5" fillId="0" borderId="56" xfId="76" applyFont="1" applyFill="1" applyBorder="1" applyAlignment="1" applyProtection="1">
      <alignment horizontal="center" vertical="center" textRotation="90"/>
    </xf>
    <xf numFmtId="166" fontId="3" fillId="0" borderId="60" xfId="76" applyFont="1" applyFill="1" applyBorder="1" applyAlignment="1" applyProtection="1">
      <alignment horizontal="left" vertical="center"/>
    </xf>
    <xf numFmtId="166" fontId="5" fillId="32" borderId="70" xfId="76" applyFont="1" applyFill="1" applyBorder="1" applyAlignment="1" applyProtection="1">
      <alignment horizontal="left" vertical="center"/>
      <protection locked="0"/>
    </xf>
    <xf numFmtId="166" fontId="5" fillId="32" borderId="27" xfId="76" applyFont="1" applyFill="1" applyBorder="1" applyAlignment="1" applyProtection="1">
      <alignment horizontal="left" vertical="center"/>
      <protection locked="0"/>
    </xf>
    <xf numFmtId="166" fontId="5" fillId="32" borderId="50" xfId="76" applyFont="1" applyFill="1" applyBorder="1" applyAlignment="1" applyProtection="1">
      <alignment horizontal="left" vertical="center"/>
      <protection locked="0"/>
    </xf>
    <xf numFmtId="166" fontId="96" fillId="0" borderId="0" xfId="76" applyFont="1" applyFill="1" applyBorder="1" applyAlignment="1" applyProtection="1">
      <alignment horizontal="left" vertical="center"/>
    </xf>
    <xf numFmtId="166" fontId="5" fillId="0" borderId="55" xfId="76" applyFont="1" applyFill="1" applyBorder="1" applyAlignment="1" applyProtection="1">
      <alignment horizontal="center" vertical="center" textRotation="90" wrapText="1"/>
    </xf>
    <xf numFmtId="166" fontId="5" fillId="0" borderId="34" xfId="76" applyFont="1" applyFill="1" applyBorder="1" applyAlignment="1" applyProtection="1">
      <alignment horizontal="center" vertical="center" textRotation="90"/>
    </xf>
    <xf numFmtId="166" fontId="5" fillId="0" borderId="36" xfId="76" applyFont="1" applyFill="1" applyBorder="1" applyAlignment="1" applyProtection="1">
      <alignment horizontal="center" vertical="center" textRotation="90"/>
    </xf>
    <xf numFmtId="7" fontId="81" fillId="27" borderId="70" xfId="73" applyNumberFormat="1" applyFont="1" applyFill="1" applyBorder="1" applyAlignment="1" applyProtection="1">
      <alignment horizontal="right" vertical="center"/>
    </xf>
    <xf numFmtId="7" fontId="81" fillId="27" borderId="50" xfId="73" applyNumberFormat="1" applyFont="1" applyFill="1" applyBorder="1" applyAlignment="1" applyProtection="1">
      <alignment horizontal="right" vertical="center"/>
    </xf>
    <xf numFmtId="167" fontId="5" fillId="32" borderId="67" xfId="76" applyNumberFormat="1" applyFont="1" applyFill="1" applyBorder="1" applyAlignment="1" applyProtection="1">
      <alignment horizontal="right" vertical="center"/>
      <protection locked="0"/>
    </xf>
    <xf numFmtId="167" fontId="5" fillId="32" borderId="63" xfId="76" applyNumberFormat="1" applyFont="1" applyFill="1" applyBorder="1" applyAlignment="1" applyProtection="1">
      <alignment horizontal="right" vertical="center"/>
      <protection locked="0"/>
    </xf>
    <xf numFmtId="167" fontId="3" fillId="32" borderId="70" xfId="76" applyNumberFormat="1" applyFont="1" applyFill="1" applyBorder="1" applyAlignment="1" applyProtection="1">
      <alignment horizontal="right" vertical="center"/>
      <protection locked="0"/>
    </xf>
    <xf numFmtId="167" fontId="3" fillId="32" borderId="50" xfId="76" applyNumberFormat="1" applyFont="1" applyFill="1" applyBorder="1" applyAlignment="1" applyProtection="1">
      <alignment horizontal="right" vertical="center"/>
      <protection locked="0"/>
    </xf>
    <xf numFmtId="167" fontId="3" fillId="27" borderId="70" xfId="76" applyNumberFormat="1" applyFont="1" applyFill="1" applyBorder="1" applyAlignment="1" applyProtection="1">
      <alignment horizontal="right" vertical="center"/>
    </xf>
    <xf numFmtId="167" fontId="3" fillId="27" borderId="50" xfId="76" applyNumberFormat="1" applyFont="1" applyFill="1" applyBorder="1" applyAlignment="1" applyProtection="1">
      <alignment horizontal="right" vertical="center"/>
    </xf>
    <xf numFmtId="167" fontId="5" fillId="32" borderId="28" xfId="76" applyNumberFormat="1" applyFont="1" applyFill="1" applyBorder="1" applyAlignment="1" applyProtection="1">
      <alignment horizontal="right" vertical="center"/>
      <protection locked="0"/>
    </xf>
    <xf numFmtId="167" fontId="5" fillId="32" borderId="60" xfId="76" applyNumberFormat="1" applyFont="1" applyFill="1" applyBorder="1" applyAlignment="1" applyProtection="1">
      <alignment horizontal="right" vertical="center"/>
      <protection locked="0"/>
    </xf>
    <xf numFmtId="166" fontId="5" fillId="0" borderId="55" xfId="76" applyFont="1" applyFill="1" applyBorder="1" applyAlignment="1" applyProtection="1">
      <alignment horizontal="center" vertical="center" wrapText="1"/>
    </xf>
    <xf numFmtId="166" fontId="5" fillId="0" borderId="34" xfId="76" applyFont="1" applyFill="1" applyBorder="1" applyAlignment="1" applyProtection="1">
      <alignment horizontal="center" vertical="center" wrapText="1"/>
    </xf>
    <xf numFmtId="166" fontId="5" fillId="0" borderId="36" xfId="76" applyFont="1" applyFill="1" applyBorder="1" applyAlignment="1" applyProtection="1">
      <alignment horizontal="center" vertical="center" wrapText="1"/>
    </xf>
    <xf numFmtId="166" fontId="5" fillId="0" borderId="72" xfId="76" applyFont="1" applyFill="1" applyBorder="1" applyAlignment="1" applyProtection="1">
      <alignment horizontal="center" vertical="center" textRotation="90"/>
    </xf>
    <xf numFmtId="166" fontId="5" fillId="0" borderId="73" xfId="76" applyFont="1" applyFill="1" applyBorder="1" applyAlignment="1" applyProtection="1">
      <alignment horizontal="center" vertical="center" textRotation="90"/>
    </xf>
    <xf numFmtId="166" fontId="5" fillId="0" borderId="74" xfId="76" applyFont="1" applyFill="1" applyBorder="1" applyAlignment="1" applyProtection="1">
      <alignment horizontal="center" vertical="center" textRotation="90"/>
    </xf>
    <xf numFmtId="166" fontId="3" fillId="0" borderId="22" xfId="76" applyFont="1" applyFill="1" applyBorder="1" applyAlignment="1" applyProtection="1">
      <alignment horizontal="left" vertical="center"/>
    </xf>
    <xf numFmtId="166" fontId="3" fillId="0" borderId="61" xfId="76" applyFont="1" applyFill="1" applyBorder="1" applyAlignment="1" applyProtection="1">
      <alignment horizontal="left" vertical="center"/>
    </xf>
    <xf numFmtId="166" fontId="22" fillId="0" borderId="22" xfId="76" applyFont="1" applyFill="1" applyBorder="1" applyAlignment="1" applyProtection="1">
      <alignment horizontal="left" vertical="center"/>
    </xf>
    <xf numFmtId="166" fontId="22" fillId="0" borderId="61" xfId="76" applyFont="1" applyFill="1" applyBorder="1" applyAlignment="1" applyProtection="1">
      <alignment horizontal="left" vertical="center"/>
    </xf>
    <xf numFmtId="166" fontId="3" fillId="0" borderId="63" xfId="76" applyFont="1" applyFill="1" applyBorder="1" applyAlignment="1" applyProtection="1">
      <alignment horizontal="left" vertical="center"/>
    </xf>
    <xf numFmtId="166" fontId="22" fillId="30" borderId="65" xfId="76" applyFont="1" applyFill="1" applyBorder="1" applyAlignment="1" applyProtection="1">
      <alignment horizontal="center" vertical="center"/>
    </xf>
    <xf numFmtId="166" fontId="22" fillId="30" borderId="50" xfId="76" applyFont="1" applyFill="1" applyBorder="1" applyAlignment="1" applyProtection="1">
      <alignment horizontal="center" vertical="center"/>
    </xf>
    <xf numFmtId="8" fontId="3" fillId="27" borderId="70" xfId="76" applyNumberFormat="1" applyFont="1" applyFill="1" applyBorder="1" applyAlignment="1" applyProtection="1">
      <alignment horizontal="right" vertical="center"/>
    </xf>
    <xf numFmtId="8" fontId="3" fillId="27" borderId="50" xfId="76" applyNumberFormat="1" applyFont="1" applyFill="1" applyBorder="1" applyAlignment="1" applyProtection="1">
      <alignment horizontal="right" vertical="center"/>
    </xf>
    <xf numFmtId="167" fontId="3" fillId="32" borderId="67" xfId="76" applyNumberFormat="1" applyFont="1" applyFill="1" applyBorder="1" applyAlignment="1" applyProtection="1">
      <alignment horizontal="right" vertical="center"/>
      <protection locked="0"/>
    </xf>
    <xf numFmtId="167" fontId="3" fillId="32" borderId="63" xfId="76" applyNumberFormat="1" applyFont="1" applyFill="1" applyBorder="1" applyAlignment="1" applyProtection="1">
      <alignment horizontal="right" vertical="center"/>
      <protection locked="0"/>
    </xf>
    <xf numFmtId="166" fontId="81" fillId="0" borderId="0" xfId="76" applyFont="1" applyFill="1" applyBorder="1" applyAlignment="1" applyProtection="1">
      <alignment horizontal="left" vertical="center"/>
    </xf>
    <xf numFmtId="166" fontId="96" fillId="0" borderId="18" xfId="76" applyFont="1" applyFill="1" applyBorder="1" applyAlignment="1" applyProtection="1">
      <alignment horizontal="left" vertical="center"/>
    </xf>
    <xf numFmtId="166" fontId="3" fillId="0" borderId="5" xfId="76" applyFont="1" applyFill="1" applyBorder="1" applyAlignment="1" applyProtection="1">
      <alignment horizontal="left" vertical="center"/>
    </xf>
    <xf numFmtId="166" fontId="3" fillId="0" borderId="32" xfId="76" applyFont="1" applyFill="1" applyBorder="1" applyAlignment="1" applyProtection="1">
      <alignment horizontal="left" vertical="center"/>
    </xf>
    <xf numFmtId="167" fontId="3" fillId="32" borderId="28" xfId="76" applyNumberFormat="1" applyFont="1" applyFill="1" applyBorder="1" applyAlignment="1" applyProtection="1">
      <alignment horizontal="right" vertical="center"/>
      <protection locked="0"/>
    </xf>
    <xf numFmtId="167" fontId="3" fillId="32" borderId="60" xfId="76" applyNumberFormat="1" applyFont="1" applyFill="1" applyBorder="1" applyAlignment="1" applyProtection="1">
      <alignment horizontal="right" vertical="center"/>
      <protection locked="0"/>
    </xf>
    <xf numFmtId="166" fontId="5" fillId="32" borderId="70" xfId="76" applyFont="1" applyFill="1" applyBorder="1" applyAlignment="1" applyProtection="1">
      <alignment horizontal="left"/>
      <protection locked="0"/>
    </xf>
    <xf numFmtId="166" fontId="5" fillId="32" borderId="27" xfId="76" applyFont="1" applyFill="1" applyBorder="1" applyAlignment="1" applyProtection="1">
      <alignment horizontal="left"/>
      <protection locked="0"/>
    </xf>
    <xf numFmtId="166" fontId="5" fillId="32" borderId="50" xfId="76" applyFont="1" applyFill="1" applyBorder="1" applyAlignment="1" applyProtection="1">
      <alignment horizontal="left"/>
      <protection locked="0"/>
    </xf>
    <xf numFmtId="0" fontId="81" fillId="0" borderId="18" xfId="67" applyFont="1" applyFill="1" applyBorder="1" applyAlignment="1" applyProtection="1">
      <alignment horizontal="center" vertical="center" wrapText="1"/>
    </xf>
    <xf numFmtId="4" fontId="71" fillId="0" borderId="0" xfId="0" applyNumberFormat="1" applyFont="1" applyFill="1" applyBorder="1" applyAlignment="1" applyProtection="1">
      <alignment horizontal="left" vertical="center" wrapText="1"/>
    </xf>
    <xf numFmtId="4" fontId="71" fillId="0" borderId="4" xfId="0" applyNumberFormat="1" applyFont="1" applyFill="1" applyBorder="1" applyAlignment="1" applyProtection="1">
      <alignment horizontal="left" vertical="center" wrapText="1"/>
    </xf>
    <xf numFmtId="0" fontId="5" fillId="0" borderId="49"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2" xfId="66" applyFill="1" applyBorder="1" applyAlignment="1" applyProtection="1">
      <alignment horizontal="center" vertical="center" wrapText="1"/>
    </xf>
    <xf numFmtId="0" fontId="5" fillId="0" borderId="16" xfId="66" applyFill="1" applyBorder="1" applyAlignment="1" applyProtection="1">
      <alignment horizontal="center" vertical="center" wrapText="1"/>
    </xf>
    <xf numFmtId="0" fontId="5" fillId="0" borderId="21" xfId="66" applyFill="1" applyBorder="1" applyAlignment="1" applyProtection="1">
      <alignment horizontal="center" vertical="center" wrapText="1"/>
    </xf>
    <xf numFmtId="0" fontId="5" fillId="0" borderId="22" xfId="0" applyFont="1" applyFill="1" applyBorder="1" applyAlignment="1">
      <alignment horizontal="center" vertical="center"/>
    </xf>
    <xf numFmtId="0" fontId="5" fillId="0" borderId="21" xfId="0" applyFont="1" applyFill="1" applyBorder="1" applyAlignment="1">
      <alignment horizontal="center" vertical="center"/>
    </xf>
    <xf numFmtId="49" fontId="3" fillId="32" borderId="30" xfId="79" applyNumberFormat="1" applyFont="1" applyFill="1" applyBorder="1" applyAlignment="1" applyProtection="1">
      <alignment horizontal="left"/>
      <protection locked="0"/>
    </xf>
    <xf numFmtId="49" fontId="3" fillId="32" borderId="33" xfId="79" applyNumberFormat="1" applyFont="1" applyFill="1" applyBorder="1" applyAlignment="1" applyProtection="1">
      <alignment horizontal="left"/>
      <protection locked="0"/>
    </xf>
    <xf numFmtId="49" fontId="3" fillId="0" borderId="49" xfId="79" applyNumberFormat="1" applyFont="1" applyFill="1" applyBorder="1" applyAlignment="1" applyProtection="1">
      <alignment horizontal="left"/>
    </xf>
    <xf numFmtId="49" fontId="3" fillId="0" borderId="25" xfId="79" applyNumberFormat="1" applyFont="1" applyFill="1" applyBorder="1" applyAlignment="1" applyProtection="1">
      <alignment horizontal="left"/>
    </xf>
    <xf numFmtId="0" fontId="0" fillId="32" borderId="30" xfId="0" applyFill="1" applyBorder="1" applyAlignment="1" applyProtection="1">
      <alignment horizontal="left"/>
      <protection locked="0"/>
    </xf>
    <xf numFmtId="0" fontId="0" fillId="32" borderId="0" xfId="0" applyFill="1" applyBorder="1" applyAlignment="1" applyProtection="1">
      <alignment horizontal="left"/>
      <protection locked="0"/>
    </xf>
    <xf numFmtId="0" fontId="0" fillId="32" borderId="33" xfId="0" applyFill="1" applyBorder="1" applyAlignment="1" applyProtection="1">
      <alignment horizontal="left"/>
      <protection locked="0"/>
    </xf>
    <xf numFmtId="0" fontId="3" fillId="32" borderId="30" xfId="0" applyFont="1" applyFill="1" applyBorder="1" applyAlignment="1" applyProtection="1">
      <alignment horizontal="left"/>
      <protection locked="0"/>
    </xf>
    <xf numFmtId="0" fontId="3" fillId="32" borderId="0" xfId="0" applyFont="1" applyFill="1" applyBorder="1" applyAlignment="1" applyProtection="1">
      <alignment horizontal="left"/>
      <protection locked="0"/>
    </xf>
    <xf numFmtId="0" fontId="3" fillId="32" borderId="33" xfId="0" applyFont="1" applyFill="1" applyBorder="1" applyAlignment="1" applyProtection="1">
      <alignment horizontal="left"/>
      <protection locked="0"/>
    </xf>
    <xf numFmtId="4" fontId="83" fillId="0" borderId="4" xfId="0" applyNumberFormat="1" applyFont="1" applyFill="1" applyBorder="1" applyAlignment="1" applyProtection="1">
      <alignment horizontal="left"/>
    </xf>
    <xf numFmtId="4" fontId="83" fillId="0" borderId="0" xfId="0" applyNumberFormat="1" applyFont="1" applyFill="1" applyBorder="1" applyAlignment="1" applyProtection="1">
      <alignment horizontal="left"/>
    </xf>
    <xf numFmtId="0" fontId="0" fillId="32" borderId="24" xfId="0" applyFill="1" applyBorder="1" applyAlignment="1" applyProtection="1">
      <alignment horizontal="left"/>
      <protection locked="0"/>
    </xf>
    <xf numFmtId="0" fontId="0" fillId="32" borderId="4" xfId="0" applyFill="1" applyBorder="1" applyAlignment="1" applyProtection="1">
      <alignment horizontal="left"/>
      <protection locked="0"/>
    </xf>
    <xf numFmtId="0" fontId="0" fillId="32" borderId="23" xfId="0" applyFill="1" applyBorder="1" applyAlignment="1" applyProtection="1">
      <alignment horizontal="left"/>
      <protection locked="0"/>
    </xf>
    <xf numFmtId="172" fontId="3" fillId="32" borderId="30" xfId="79" applyFont="1" applyFill="1" applyBorder="1" applyAlignment="1" applyProtection="1">
      <alignment horizontal="left"/>
      <protection locked="0"/>
    </xf>
    <xf numFmtId="172" fontId="3" fillId="32" borderId="0" xfId="79" applyFont="1" applyFill="1" applyBorder="1" applyAlignment="1" applyProtection="1">
      <alignment horizontal="left"/>
      <protection locked="0"/>
    </xf>
    <xf numFmtId="172" fontId="3" fillId="32" borderId="33" xfId="79" applyFont="1" applyFill="1" applyBorder="1" applyAlignment="1" applyProtection="1">
      <alignment horizontal="left"/>
      <protection locked="0"/>
    </xf>
    <xf numFmtId="172" fontId="3" fillId="0" borderId="49" xfId="79" applyFont="1" applyFill="1" applyBorder="1" applyAlignment="1" applyProtection="1">
      <alignment horizontal="left"/>
    </xf>
    <xf numFmtId="172" fontId="3" fillId="0" borderId="38" xfId="79" applyFont="1" applyFill="1" applyBorder="1" applyAlignment="1" applyProtection="1">
      <alignment horizontal="left"/>
    </xf>
    <xf numFmtId="172" fontId="3" fillId="0" borderId="25" xfId="79" applyFont="1" applyFill="1" applyBorder="1" applyAlignment="1" applyProtection="1">
      <alignment horizontal="left"/>
    </xf>
    <xf numFmtId="0" fontId="5" fillId="0" borderId="37" xfId="0" applyFont="1" applyFill="1" applyBorder="1" applyAlignment="1" applyProtection="1">
      <alignment horizontal="center" vertical="center" wrapText="1"/>
    </xf>
    <xf numFmtId="0" fontId="5" fillId="0" borderId="34"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22" xfId="0" applyFont="1" applyFill="1" applyBorder="1" applyAlignment="1">
      <alignment horizontal="center" vertical="center" wrapText="1"/>
    </xf>
    <xf numFmtId="0" fontId="5" fillId="0" borderId="21" xfId="0" applyFont="1" applyFill="1" applyBorder="1" applyAlignment="1">
      <alignment horizontal="center" vertical="center" wrapText="1"/>
    </xf>
    <xf numFmtId="167" fontId="0" fillId="32" borderId="22" xfId="0" applyNumberFormat="1" applyFill="1" applyBorder="1" applyAlignment="1" applyProtection="1">
      <alignment horizontal="center"/>
      <protection locked="0"/>
    </xf>
    <xf numFmtId="167" fontId="0" fillId="32" borderId="21" xfId="0" applyNumberFormat="1" applyFill="1" applyBorder="1" applyAlignment="1" applyProtection="1">
      <alignment horizontal="center"/>
      <protection locked="0"/>
    </xf>
    <xf numFmtId="172" fontId="3" fillId="32" borderId="24" xfId="79" applyFont="1" applyFill="1" applyBorder="1" applyAlignment="1" applyProtection="1">
      <alignment horizontal="left"/>
      <protection locked="0"/>
    </xf>
    <xf numFmtId="172" fontId="3" fillId="32" borderId="4" xfId="79" applyFont="1" applyFill="1" applyBorder="1" applyAlignment="1" applyProtection="1">
      <alignment horizontal="left"/>
      <protection locked="0"/>
    </xf>
    <xf numFmtId="172" fontId="3" fillId="32" borderId="23" xfId="79" applyFont="1" applyFill="1" applyBorder="1" applyAlignment="1" applyProtection="1">
      <alignment horizontal="left"/>
      <protection locked="0"/>
    </xf>
    <xf numFmtId="0" fontId="3" fillId="32" borderId="49" xfId="0" applyFont="1" applyFill="1" applyBorder="1" applyAlignment="1" applyProtection="1">
      <alignment horizontal="left"/>
      <protection locked="0"/>
    </xf>
    <xf numFmtId="0" fontId="3" fillId="32" borderId="38" xfId="0" applyFont="1" applyFill="1" applyBorder="1" applyAlignment="1" applyProtection="1">
      <alignment horizontal="left"/>
      <protection locked="0"/>
    </xf>
    <xf numFmtId="0" fontId="3" fillId="32" borderId="25" xfId="0" applyFont="1" applyFill="1" applyBorder="1" applyAlignment="1" applyProtection="1">
      <alignment horizontal="left"/>
      <protection locked="0"/>
    </xf>
    <xf numFmtId="172" fontId="3" fillId="32" borderId="22" xfId="79" applyFont="1" applyFill="1" applyBorder="1" applyAlignment="1" applyProtection="1">
      <alignment horizontal="center"/>
      <protection locked="0"/>
    </xf>
    <xf numFmtId="172" fontId="3" fillId="32" borderId="21" xfId="79" applyFont="1" applyFill="1" applyBorder="1" applyAlignment="1" applyProtection="1">
      <alignment horizontal="center"/>
      <protection locked="0"/>
    </xf>
    <xf numFmtId="166" fontId="5" fillId="32" borderId="22" xfId="76" applyFont="1" applyFill="1" applyBorder="1" applyAlignment="1" applyProtection="1">
      <alignment horizontal="left" vertical="center"/>
      <protection locked="0"/>
    </xf>
    <xf numFmtId="166" fontId="5" fillId="32" borderId="16" xfId="76" applyFont="1" applyFill="1" applyBorder="1" applyAlignment="1" applyProtection="1">
      <alignment horizontal="left" vertical="center"/>
      <protection locked="0"/>
    </xf>
    <xf numFmtId="166" fontId="5" fillId="32" borderId="21" xfId="76" applyFont="1" applyFill="1" applyBorder="1" applyAlignment="1" applyProtection="1">
      <alignment horizontal="left" vertical="center"/>
      <protection locked="0"/>
    </xf>
    <xf numFmtId="0" fontId="0" fillId="32" borderId="24" xfId="0" applyFill="1" applyBorder="1" applyAlignment="1" applyProtection="1">
      <alignment horizontal="left" vertical="top" wrapText="1"/>
      <protection locked="0"/>
    </xf>
    <xf numFmtId="0" fontId="0" fillId="32" borderId="23" xfId="0" applyFill="1" applyBorder="1" applyAlignment="1" applyProtection="1">
      <alignment horizontal="left" vertical="top" wrapText="1"/>
      <protection locked="0"/>
    </xf>
    <xf numFmtId="49" fontId="3" fillId="32" borderId="30" xfId="0" applyNumberFormat="1" applyFont="1" applyFill="1" applyBorder="1" applyAlignment="1" applyProtection="1">
      <alignment horizontal="left"/>
      <protection locked="0"/>
    </xf>
    <xf numFmtId="49" fontId="0" fillId="32" borderId="33" xfId="0" applyNumberFormat="1" applyFill="1" applyBorder="1" applyAlignment="1" applyProtection="1">
      <alignment horizontal="left"/>
      <protection locked="0"/>
    </xf>
    <xf numFmtId="49" fontId="3" fillId="32" borderId="24" xfId="0" applyNumberFormat="1" applyFont="1" applyFill="1" applyBorder="1" applyAlignment="1" applyProtection="1">
      <alignment horizontal="left"/>
      <protection locked="0"/>
    </xf>
    <xf numFmtId="49" fontId="3" fillId="32" borderId="23" xfId="0" applyNumberFormat="1" applyFont="1" applyFill="1" applyBorder="1" applyAlignment="1" applyProtection="1">
      <alignment horizontal="left"/>
      <protection locked="0"/>
    </xf>
    <xf numFmtId="0" fontId="3" fillId="32" borderId="24" xfId="0" applyFont="1" applyFill="1" applyBorder="1" applyAlignment="1" applyProtection="1">
      <alignment horizontal="left"/>
      <protection locked="0"/>
    </xf>
    <xf numFmtId="0" fontId="3" fillId="32" borderId="4" xfId="0" applyFont="1" applyFill="1" applyBorder="1" applyAlignment="1" applyProtection="1">
      <alignment horizontal="left"/>
      <protection locked="0"/>
    </xf>
    <xf numFmtId="0" fontId="3" fillId="32" borderId="23" xfId="0" applyFont="1" applyFill="1" applyBorder="1" applyAlignment="1" applyProtection="1">
      <alignment horizontal="left"/>
      <protection locked="0"/>
    </xf>
    <xf numFmtId="49" fontId="3" fillId="32" borderId="33" xfId="0" applyNumberFormat="1" applyFont="1" applyFill="1" applyBorder="1" applyAlignment="1" applyProtection="1">
      <alignment horizontal="left"/>
      <protection locked="0"/>
    </xf>
  </cellXfs>
  <cellStyles count="90">
    <cellStyle name="20% - Colore 1" xfId="1" builtinId="30" customBuiltin="1"/>
    <cellStyle name="20% - Colore 1 2" xfId="2"/>
    <cellStyle name="20% - Colore 1 2 2" xfId="3"/>
    <cellStyle name="20% - Colore 1 3" xfId="4"/>
    <cellStyle name="20% - Colore 2" xfId="5" builtinId="34" customBuiltin="1"/>
    <cellStyle name="20% - Colore 2 2" xfId="6"/>
    <cellStyle name="20% - Colore 2 2 2" xfId="7"/>
    <cellStyle name="20% - Colore 2 3" xfId="8"/>
    <cellStyle name="20% - Colore 3" xfId="9" builtinId="38" customBuiltin="1"/>
    <cellStyle name="20% - Colore 3 2" xfId="10"/>
    <cellStyle name="20% - Colore 3 2 2" xfId="11"/>
    <cellStyle name="20% - Colore 3 3" xfId="12"/>
    <cellStyle name="20% - Colore 4" xfId="13" builtinId="42" customBuiltin="1"/>
    <cellStyle name="20% - Colore 4 2" xfId="14"/>
    <cellStyle name="20% - Colore 4 2 2" xfId="15"/>
    <cellStyle name="20% - Colore 4 3" xfId="16"/>
    <cellStyle name="20% - Colore 5" xfId="17" builtinId="46" customBuiltin="1"/>
    <cellStyle name="20% - Colore 5 2" xfId="18"/>
    <cellStyle name="20% - Colore 5 2 2" xfId="19"/>
    <cellStyle name="20% - Colore 5 3" xfId="20"/>
    <cellStyle name="20% - Colore 6" xfId="21" builtinId="50" customBuiltin="1"/>
    <cellStyle name="20% - Colore 6 2" xfId="22"/>
    <cellStyle name="20% - Colore 6 2 2" xfId="23"/>
    <cellStyle name="20% - Colore 6 3" xfId="24"/>
    <cellStyle name="40% - Colore 1" xfId="25" builtinId="31" customBuiltin="1"/>
    <cellStyle name="40% - Colore 1 2" xfId="26"/>
    <cellStyle name="40% - Colore 1 2 2" xfId="27"/>
    <cellStyle name="40% - Colore 1 3" xfId="28"/>
    <cellStyle name="40% - Colore 2" xfId="29" builtinId="35" customBuiltin="1"/>
    <cellStyle name="40% - Colore 2 2" xfId="30"/>
    <cellStyle name="40% - Colore 2 2 2" xfId="31"/>
    <cellStyle name="40% - Colore 2 3" xfId="32"/>
    <cellStyle name="40% - Colore 3" xfId="33" builtinId="39" customBuiltin="1"/>
    <cellStyle name="40% - Colore 3 2" xfId="34"/>
    <cellStyle name="40% - Colore 3 2 2" xfId="35"/>
    <cellStyle name="40% - Colore 3 3" xfId="36"/>
    <cellStyle name="40% - Colore 4" xfId="37" builtinId="43" customBuiltin="1"/>
    <cellStyle name="40% - Colore 4 2" xfId="38"/>
    <cellStyle name="40% - Colore 4 2 2" xfId="39"/>
    <cellStyle name="40% - Colore 4 3" xfId="40"/>
    <cellStyle name="40% - Colore 5" xfId="41" builtinId="47" customBuiltin="1"/>
    <cellStyle name="40% - Colore 5 2" xfId="42"/>
    <cellStyle name="40% - Colore 5 2 2" xfId="43"/>
    <cellStyle name="40% - Colore 5 3" xfId="44"/>
    <cellStyle name="40% - Colore 6" xfId="45" builtinId="51" customBuiltin="1"/>
    <cellStyle name="40% - Colore 6 2" xfId="46"/>
    <cellStyle name="40% - Colore 6 2 2" xfId="47"/>
    <cellStyle name="40% - Colore 6 3" xfId="48"/>
    <cellStyle name="60% - Colore 1" xfId="49" builtinId="32" customBuiltin="1"/>
    <cellStyle name="60% - Colore 2" xfId="50" builtinId="36" customBuiltin="1"/>
    <cellStyle name="60% - Colore 3" xfId="51" builtinId="40" customBuiltin="1"/>
    <cellStyle name="60% - Colore 4" xfId="52" builtinId="44" customBuiltin="1"/>
    <cellStyle name="60% - Colore 5" xfId="53" builtinId="48" customBuiltin="1"/>
    <cellStyle name="60% - Colore 6" xfId="54" builtinId="52" customBuiltin="1"/>
    <cellStyle name="Calcolo" xfId="55" builtinId="22" customBuiltin="1"/>
    <cellStyle name="Cella collegata" xfId="56" builtinId="24" customBuiltin="1"/>
    <cellStyle name="Cella da controllare" xfId="57" builtinId="23" customBuiltin="1"/>
    <cellStyle name="Collegamento ipertestuale" xfId="58" builtinId="8"/>
    <cellStyle name="Colore 1" xfId="59" builtinId="29" customBuiltin="1"/>
    <cellStyle name="Colore 2" xfId="60" builtinId="33" customBuiltin="1"/>
    <cellStyle name="Colore 3" xfId="61" builtinId="37" customBuiltin="1"/>
    <cellStyle name="Colore 4" xfId="62" builtinId="41" customBuiltin="1"/>
    <cellStyle name="Colore 5" xfId="63" builtinId="45" customBuiltin="1"/>
    <cellStyle name="Colore 6" xfId="64" builtinId="49" customBuiltin="1"/>
    <cellStyle name="Input" xfId="65" builtinId="20" customBuiltin="1"/>
    <cellStyle name="IntestazioneColonne" xfId="66"/>
    <cellStyle name="LabelRiga" xfId="67"/>
    <cellStyle name="LabelTabella" xfId="68"/>
    <cellStyle name="MetriCubi" xfId="69"/>
    <cellStyle name="MetriCubi 2" xfId="70"/>
    <cellStyle name="MetriQuadrati" xfId="71"/>
    <cellStyle name="MetriQuadrati 2" xfId="72"/>
    <cellStyle name="Migliaia" xfId="73" builtinId="3"/>
    <cellStyle name="Neutrale" xfId="74" builtinId="28" customBuiltin="1"/>
    <cellStyle name="Normale" xfId="0" builtinId="0"/>
    <cellStyle name="Normale 2" xfId="75"/>
    <cellStyle name="Normale_Copia di costo costruzione" xfId="76"/>
    <cellStyle name="Nota" xfId="77" builtinId="10" customBuiltin="1"/>
    <cellStyle name="Output" xfId="78" builtinId="21" customBuiltin="1"/>
    <cellStyle name="Percentuale" xfId="79" builtinId="5"/>
    <cellStyle name="Testo avviso" xfId="80" builtinId="11" customBuiltin="1"/>
    <cellStyle name="Testo descrittivo" xfId="81" builtinId="53" customBuiltin="1"/>
    <cellStyle name="Titolo" xfId="82" builtinId="15" customBuiltin="1"/>
    <cellStyle name="Titolo 1" xfId="83" builtinId="16" customBuiltin="1"/>
    <cellStyle name="Titolo 2" xfId="84" builtinId="17" customBuiltin="1"/>
    <cellStyle name="Titolo 3" xfId="85" builtinId="18" customBuiltin="1"/>
    <cellStyle name="Titolo 4" xfId="86" builtinId="19" customBuiltin="1"/>
    <cellStyle name="Totale" xfId="87" builtinId="25" customBuiltin="1"/>
    <cellStyle name="Valore non valido" xfId="88" builtinId="27" customBuiltin="1"/>
    <cellStyle name="Valore valido" xfId="89" builtinId="26" customBuiltin="1"/>
  </cellStyles>
  <dxfs count="388">
    <dxf>
      <fill>
        <patternFill>
          <bgColor rgb="FFFFFF9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B"/>
        </patternFill>
      </fill>
    </dxf>
    <dxf>
      <fill>
        <patternFill>
          <bgColor rgb="FFFFFF9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B"/>
        </patternFill>
      </fill>
    </dxf>
    <dxf>
      <fill>
        <patternFill>
          <bgColor rgb="FFFFFF9B"/>
        </patternFill>
      </fill>
    </dxf>
    <dxf>
      <fill>
        <patternFill>
          <bgColor rgb="FFFFFF9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B"/>
        </patternFill>
      </fill>
    </dxf>
    <dxf>
      <fill>
        <patternFill>
          <bgColor rgb="FFFFFF9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B"/>
        </patternFill>
      </fill>
    </dxf>
    <dxf>
      <fill>
        <patternFill>
          <bgColor rgb="FFFFFF9B"/>
        </patternFill>
      </fill>
    </dxf>
    <dxf>
      <fill>
        <patternFill>
          <bgColor rgb="FFFFFF9B"/>
        </patternFill>
      </fill>
    </dxf>
    <dxf>
      <fill>
        <patternFill>
          <bgColor rgb="FFFFFF9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B"/>
        </patternFill>
      </fill>
    </dxf>
    <dxf>
      <fill>
        <patternFill>
          <bgColor rgb="FFFFFF9B"/>
        </patternFill>
      </fill>
    </dxf>
    <dxf>
      <fill>
        <patternFill>
          <bgColor rgb="FFFFFF9B"/>
        </patternFill>
      </fill>
    </dxf>
    <dxf>
      <fill>
        <patternFill>
          <bgColor rgb="FFFFFF9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B"/>
        </patternFill>
      </fill>
    </dxf>
    <dxf>
      <fill>
        <patternFill>
          <bgColor rgb="FFFFFF9B"/>
        </patternFill>
      </fill>
    </dxf>
    <dxf>
      <fill>
        <patternFill>
          <bgColor rgb="FFFFFF9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B"/>
        </patternFill>
      </fill>
    </dxf>
    <dxf>
      <fill>
        <patternFill>
          <bgColor rgb="FFFFFF9B"/>
        </patternFill>
      </fill>
    </dxf>
    <dxf>
      <fill>
        <patternFill>
          <bgColor rgb="FFFFFF9B"/>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99FF99"/>
        </patternFill>
      </fill>
    </dxf>
    <dxf>
      <fill>
        <patternFill>
          <bgColor rgb="FF99FF99"/>
        </patternFill>
      </fill>
    </dxf>
    <dxf>
      <fill>
        <patternFill>
          <bgColor rgb="FFFFFF9B"/>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FFFF9B"/>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FFFF99"/>
        </patternFill>
      </fill>
    </dxf>
    <dxf>
      <fill>
        <patternFill>
          <bgColor rgb="FFFFFF9B"/>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99FF99"/>
        </patternFill>
      </fill>
    </dxf>
    <dxf>
      <fill>
        <patternFill>
          <bgColor rgb="FF99FF99"/>
        </patternFill>
      </fill>
    </dxf>
    <dxf>
      <fill>
        <patternFill>
          <bgColor rgb="FFFFFF9B"/>
        </patternFill>
      </fill>
    </dxf>
    <dxf>
      <fill>
        <patternFill>
          <bgColor rgb="FFFFFF9B"/>
        </patternFill>
      </fill>
    </dxf>
    <dxf>
      <fill>
        <patternFill>
          <bgColor rgb="FF99FF99"/>
        </patternFill>
      </fill>
    </dxf>
    <dxf>
      <fill>
        <patternFill>
          <bgColor rgb="FFFFFF9B"/>
        </patternFill>
      </fill>
    </dxf>
    <dxf>
      <fill>
        <patternFill>
          <bgColor rgb="FFFFFF99"/>
        </patternFill>
      </fill>
    </dxf>
    <dxf>
      <fill>
        <patternFill>
          <bgColor rgb="FFFFFF9B"/>
        </patternFill>
      </fill>
    </dxf>
    <dxf>
      <fill>
        <patternFill>
          <bgColor rgb="FF99FF99"/>
        </patternFill>
      </fill>
    </dxf>
    <dxf>
      <fill>
        <patternFill>
          <bgColor rgb="FF9BFF9B"/>
        </patternFill>
      </fill>
    </dxf>
    <dxf>
      <fill>
        <patternFill>
          <bgColor rgb="FFFFFF9B"/>
        </patternFill>
      </fill>
    </dxf>
    <dxf>
      <fill>
        <patternFill>
          <bgColor rgb="FF99FF99"/>
        </patternFill>
      </fill>
    </dxf>
    <dxf>
      <fill>
        <patternFill>
          <bgColor rgb="FFFFFF9B"/>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FFFF9B"/>
        </patternFill>
      </fill>
    </dxf>
    <dxf>
      <fill>
        <patternFill>
          <bgColor rgb="FFFFFF9B"/>
        </patternFill>
      </fill>
    </dxf>
    <dxf>
      <fill>
        <patternFill>
          <bgColor rgb="FFFFFF9B"/>
        </patternFill>
      </fill>
    </dxf>
    <dxf>
      <fill>
        <patternFill>
          <bgColor rgb="FF99FF99"/>
        </patternFill>
      </fill>
    </dxf>
    <dxf>
      <fill>
        <patternFill>
          <bgColor rgb="FFFFFF99"/>
        </patternFill>
      </fill>
    </dxf>
    <dxf>
      <fill>
        <patternFill>
          <bgColor rgb="FFFFFF9B"/>
        </patternFill>
      </fill>
    </dxf>
    <dxf>
      <fill>
        <patternFill>
          <bgColor rgb="FFFFFF9B"/>
        </patternFill>
      </fill>
    </dxf>
    <dxf>
      <fill>
        <patternFill>
          <bgColor rgb="FFFFFF9B"/>
        </patternFill>
      </fill>
    </dxf>
    <dxf>
      <fill>
        <patternFill>
          <bgColor rgb="FFFFFF9B"/>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B"/>
        </patternFill>
      </fill>
    </dxf>
    <dxf>
      <fill>
        <patternFill>
          <bgColor rgb="FFFFFF9B"/>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BDBDB"/>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99FF99"/>
      <color rgb="FFFFFF9B"/>
      <color rgb="FF99FF66"/>
      <color rgb="FF9BFF9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link_oneri_urbanizzazione_cambio_uso"/><Relationship Id="rId13" Type="http://schemas.openxmlformats.org/officeDocument/2006/relationships/hyperlink" Target="#'Costo Costruzione'!A1"/><Relationship Id="rId3" Type="http://schemas.openxmlformats.org/officeDocument/2006/relationships/image" Target="../media/image2.png"/><Relationship Id="rId7" Type="http://schemas.openxmlformats.org/officeDocument/2006/relationships/hyperlink" Target="#'Costo costruzione statofatto'!A1"/><Relationship Id="rId12" Type="http://schemas.openxmlformats.org/officeDocument/2006/relationships/image" Target="../media/image5.png"/><Relationship Id="rId2" Type="http://schemas.openxmlformats.org/officeDocument/2006/relationships/image" Target="../media/image1.jpeg"/><Relationship Id="rId1" Type="http://schemas.openxmlformats.org/officeDocument/2006/relationships/hyperlink" Target="#link_monetizzazione_standards"/><Relationship Id="rId6" Type="http://schemas.openxmlformats.org/officeDocument/2006/relationships/hyperlink" Target="#'Determinazione classe'!A1"/><Relationship Id="rId11" Type="http://schemas.openxmlformats.org/officeDocument/2006/relationships/image" Target="../media/image4.png"/><Relationship Id="rId5" Type="http://schemas.openxmlformats.org/officeDocument/2006/relationships/hyperlink" Target="#link_oneri_urbanizzazione"/><Relationship Id="rId15" Type="http://schemas.openxmlformats.org/officeDocument/2006/relationships/hyperlink" Target="#'Calcolo superficie parcheggio'!A1"/><Relationship Id="rId10" Type="http://schemas.openxmlformats.org/officeDocument/2006/relationships/hyperlink" Target="#'Riepilogo oneri e costi'!A1"/><Relationship Id="rId4" Type="http://schemas.openxmlformats.org/officeDocument/2006/relationships/image" Target="../media/image3.png"/><Relationship Id="rId9" Type="http://schemas.openxmlformats.org/officeDocument/2006/relationships/hyperlink" Target="#'Riepilogo generale'!A1"/><Relationship Id="rId14" Type="http://schemas.openxmlformats.org/officeDocument/2006/relationships/hyperlink" Target="#'Costo costruzione progetto'!A1"/></Relationships>
</file>

<file path=xl/drawings/_rels/drawing2.xml.rels><?xml version="1.0" encoding="UTF-8" standalone="yes"?>
<Relationships xmlns="http://schemas.openxmlformats.org/package/2006/relationships"><Relationship Id="rId2" Type="http://schemas.openxmlformats.org/officeDocument/2006/relationships/hyperlink" Target="#'Procedura guidata (Office 2007)'!A1"/><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 (Office 2007)'!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 (Office 2007)'!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 (Office 2007)'!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 (Office 2007)'!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 (Office 2007)'!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 (Office 2007)'!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 (Office 2007)'!A1"/></Relationships>
</file>

<file path=xl/drawings/drawing1.xml><?xml version="1.0" encoding="utf-8"?>
<xdr:wsDr xmlns:xdr="http://schemas.openxmlformats.org/drawingml/2006/spreadsheetDrawing" xmlns:a="http://schemas.openxmlformats.org/drawingml/2006/main">
  <xdr:twoCellAnchor editAs="oneCell">
    <xdr:from>
      <xdr:col>48</xdr:col>
      <xdr:colOff>85725</xdr:colOff>
      <xdr:row>26</xdr:row>
      <xdr:rowOff>76200</xdr:rowOff>
    </xdr:from>
    <xdr:to>
      <xdr:col>50</xdr:col>
      <xdr:colOff>0</xdr:colOff>
      <xdr:row>28</xdr:row>
      <xdr:rowOff>114300</xdr:rowOff>
    </xdr:to>
    <xdr:pic>
      <xdr:nvPicPr>
        <xdr:cNvPr id="76638" name="Immagine 15">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20600" y="4314825"/>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133350</xdr:colOff>
      <xdr:row>46</xdr:row>
      <xdr:rowOff>38100</xdr:rowOff>
    </xdr:from>
    <xdr:to>
      <xdr:col>34</xdr:col>
      <xdr:colOff>171450</xdr:colOff>
      <xdr:row>47</xdr:row>
      <xdr:rowOff>161925</xdr:rowOff>
    </xdr:to>
    <xdr:pic>
      <xdr:nvPicPr>
        <xdr:cNvPr id="76619" name="Immagine 1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34400" y="75152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171450</xdr:colOff>
      <xdr:row>2</xdr:row>
      <xdr:rowOff>28575</xdr:rowOff>
    </xdr:from>
    <xdr:to>
      <xdr:col>29</xdr:col>
      <xdr:colOff>0</xdr:colOff>
      <xdr:row>5</xdr:row>
      <xdr:rowOff>0</xdr:rowOff>
    </xdr:to>
    <xdr:pic>
      <xdr:nvPicPr>
        <xdr:cNvPr id="76620" name="Immagine 2"/>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53250" y="381000"/>
          <a:ext cx="457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209550</xdr:colOff>
      <xdr:row>10</xdr:row>
      <xdr:rowOff>76200</xdr:rowOff>
    </xdr:from>
    <xdr:to>
      <xdr:col>9</xdr:col>
      <xdr:colOff>0</xdr:colOff>
      <xdr:row>12</xdr:row>
      <xdr:rowOff>114300</xdr:rowOff>
    </xdr:to>
    <xdr:pic>
      <xdr:nvPicPr>
        <xdr:cNvPr id="76621" name="Immagine 3">
          <a:hlinkClick xmlns:r="http://schemas.openxmlformats.org/officeDocument/2006/relationships" r:id="rId5"/>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0225" y="1724025"/>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180975</xdr:colOff>
      <xdr:row>18</xdr:row>
      <xdr:rowOff>85725</xdr:rowOff>
    </xdr:from>
    <xdr:to>
      <xdr:col>8</xdr:col>
      <xdr:colOff>0</xdr:colOff>
      <xdr:row>20</xdr:row>
      <xdr:rowOff>123825</xdr:rowOff>
    </xdr:to>
    <xdr:pic>
      <xdr:nvPicPr>
        <xdr:cNvPr id="76622" name="Immagine 4">
          <a:hlinkClick xmlns:r="http://schemas.openxmlformats.org/officeDocument/2006/relationships" r:id="rId6"/>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2575" y="302895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209550</xdr:colOff>
      <xdr:row>26</xdr:row>
      <xdr:rowOff>66675</xdr:rowOff>
    </xdr:from>
    <xdr:to>
      <xdr:col>9</xdr:col>
      <xdr:colOff>0</xdr:colOff>
      <xdr:row>28</xdr:row>
      <xdr:rowOff>104775</xdr:rowOff>
    </xdr:to>
    <xdr:pic>
      <xdr:nvPicPr>
        <xdr:cNvPr id="76623" name="Immagine 7">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0225" y="430530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209550</xdr:colOff>
      <xdr:row>10</xdr:row>
      <xdr:rowOff>57150</xdr:rowOff>
    </xdr:from>
    <xdr:to>
      <xdr:col>29</xdr:col>
      <xdr:colOff>0</xdr:colOff>
      <xdr:row>12</xdr:row>
      <xdr:rowOff>95250</xdr:rowOff>
    </xdr:to>
    <xdr:pic>
      <xdr:nvPicPr>
        <xdr:cNvPr id="76624" name="Immagine 8">
          <a:hlinkClick xmlns:r="http://schemas.openxmlformats.org/officeDocument/2006/relationships" r:id="rId5"/>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991350" y="1704975"/>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161925</xdr:colOff>
      <xdr:row>18</xdr:row>
      <xdr:rowOff>66675</xdr:rowOff>
    </xdr:from>
    <xdr:to>
      <xdr:col>27</xdr:col>
      <xdr:colOff>371475</xdr:colOff>
      <xdr:row>20</xdr:row>
      <xdr:rowOff>104775</xdr:rowOff>
    </xdr:to>
    <xdr:pic>
      <xdr:nvPicPr>
        <xdr:cNvPr id="76625" name="Immagine 9">
          <a:hlinkClick xmlns:r="http://schemas.openxmlformats.org/officeDocument/2006/relationships" r:id="rId6"/>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24650" y="300990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171450</xdr:colOff>
      <xdr:row>30</xdr:row>
      <xdr:rowOff>66675</xdr:rowOff>
    </xdr:from>
    <xdr:to>
      <xdr:col>28</xdr:col>
      <xdr:colOff>0</xdr:colOff>
      <xdr:row>32</xdr:row>
      <xdr:rowOff>104775</xdr:rowOff>
    </xdr:to>
    <xdr:pic>
      <xdr:nvPicPr>
        <xdr:cNvPr id="76626" name="Immagine 10">
          <a:hlinkClick xmlns:r="http://schemas.openxmlformats.org/officeDocument/2006/relationships" r:id="rId7"/>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34175" y="495300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209550</xdr:colOff>
      <xdr:row>10</xdr:row>
      <xdr:rowOff>66675</xdr:rowOff>
    </xdr:from>
    <xdr:to>
      <xdr:col>40</xdr:col>
      <xdr:colOff>0</xdr:colOff>
      <xdr:row>12</xdr:row>
      <xdr:rowOff>104775</xdr:rowOff>
    </xdr:to>
    <xdr:pic>
      <xdr:nvPicPr>
        <xdr:cNvPr id="76627" name="Immagine 12">
          <a:hlinkClick xmlns:r="http://schemas.openxmlformats.org/officeDocument/2006/relationships" r:id="rId5"/>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734550" y="171450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37</xdr:col>
      <xdr:colOff>171450</xdr:colOff>
      <xdr:row>18</xdr:row>
      <xdr:rowOff>85725</xdr:rowOff>
    </xdr:from>
    <xdr:to>
      <xdr:col>39</xdr:col>
      <xdr:colOff>0</xdr:colOff>
      <xdr:row>20</xdr:row>
      <xdr:rowOff>123825</xdr:rowOff>
    </xdr:to>
    <xdr:pic>
      <xdr:nvPicPr>
        <xdr:cNvPr id="76628" name="Immagine 13">
          <a:hlinkClick xmlns:r="http://schemas.openxmlformats.org/officeDocument/2006/relationships" r:id="rId6"/>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477375" y="302895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95250</xdr:colOff>
      <xdr:row>10</xdr:row>
      <xdr:rowOff>66675</xdr:rowOff>
    </xdr:from>
    <xdr:to>
      <xdr:col>50</xdr:col>
      <xdr:colOff>9525</xdr:colOff>
      <xdr:row>12</xdr:row>
      <xdr:rowOff>104775</xdr:rowOff>
    </xdr:to>
    <xdr:pic>
      <xdr:nvPicPr>
        <xdr:cNvPr id="76629" name="Immagine 15">
          <a:hlinkClick xmlns:r="http://schemas.openxmlformats.org/officeDocument/2006/relationships" r:id="rId8"/>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30125" y="171450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85725</xdr:colOff>
      <xdr:row>45</xdr:row>
      <xdr:rowOff>0</xdr:rowOff>
    </xdr:from>
    <xdr:to>
      <xdr:col>23</xdr:col>
      <xdr:colOff>0</xdr:colOff>
      <xdr:row>47</xdr:row>
      <xdr:rowOff>152400</xdr:rowOff>
    </xdr:to>
    <xdr:pic>
      <xdr:nvPicPr>
        <xdr:cNvPr id="76630" name="Immagine 16">
          <a:hlinkClick xmlns:r="http://schemas.openxmlformats.org/officeDocument/2006/relationships" r:id="rId9"/>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0" y="7315200"/>
          <a:ext cx="476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238125</xdr:colOff>
      <xdr:row>45</xdr:row>
      <xdr:rowOff>19050</xdr:rowOff>
    </xdr:from>
    <xdr:to>
      <xdr:col>34</xdr:col>
      <xdr:colOff>142875</xdr:colOff>
      <xdr:row>48</xdr:row>
      <xdr:rowOff>0</xdr:rowOff>
    </xdr:to>
    <xdr:pic>
      <xdr:nvPicPr>
        <xdr:cNvPr id="76631" name="Immagine 18">
          <a:hlinkClick xmlns:r="http://schemas.openxmlformats.org/officeDocument/2006/relationships" r:id="rId10"/>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8324850" y="7334250"/>
          <a:ext cx="4667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180975</xdr:colOff>
      <xdr:row>40</xdr:row>
      <xdr:rowOff>38100</xdr:rowOff>
    </xdr:from>
    <xdr:to>
      <xdr:col>28</xdr:col>
      <xdr:colOff>228600</xdr:colOff>
      <xdr:row>42</xdr:row>
      <xdr:rowOff>142875</xdr:rowOff>
    </xdr:to>
    <xdr:pic>
      <xdr:nvPicPr>
        <xdr:cNvPr id="76632" name="Immagine 1"/>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962775" y="6543675"/>
          <a:ext cx="4286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180975</xdr:colOff>
      <xdr:row>22</xdr:row>
      <xdr:rowOff>66675</xdr:rowOff>
    </xdr:from>
    <xdr:to>
      <xdr:col>8</xdr:col>
      <xdr:colOff>0</xdr:colOff>
      <xdr:row>24</xdr:row>
      <xdr:rowOff>104775</xdr:rowOff>
    </xdr:to>
    <xdr:pic>
      <xdr:nvPicPr>
        <xdr:cNvPr id="76633" name="Immagine 4">
          <a:hlinkClick xmlns:r="http://schemas.openxmlformats.org/officeDocument/2006/relationships" r:id="rId13"/>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2575" y="365760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171450</xdr:colOff>
      <xdr:row>22</xdr:row>
      <xdr:rowOff>57150</xdr:rowOff>
    </xdr:from>
    <xdr:to>
      <xdr:col>28</xdr:col>
      <xdr:colOff>0</xdr:colOff>
      <xdr:row>24</xdr:row>
      <xdr:rowOff>95250</xdr:rowOff>
    </xdr:to>
    <xdr:pic>
      <xdr:nvPicPr>
        <xdr:cNvPr id="76634" name="Immagine 9">
          <a:hlinkClick xmlns:r="http://schemas.openxmlformats.org/officeDocument/2006/relationships" r:id="rId13"/>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34175" y="3648075"/>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37</xdr:col>
      <xdr:colOff>171450</xdr:colOff>
      <xdr:row>22</xdr:row>
      <xdr:rowOff>57150</xdr:rowOff>
    </xdr:from>
    <xdr:to>
      <xdr:col>39</xdr:col>
      <xdr:colOff>0</xdr:colOff>
      <xdr:row>24</xdr:row>
      <xdr:rowOff>95250</xdr:rowOff>
    </xdr:to>
    <xdr:pic>
      <xdr:nvPicPr>
        <xdr:cNvPr id="76635" name="Immagine 13">
          <a:hlinkClick xmlns:r="http://schemas.openxmlformats.org/officeDocument/2006/relationships" r:id="rId13"/>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477375" y="3648075"/>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171450</xdr:colOff>
      <xdr:row>34</xdr:row>
      <xdr:rowOff>47625</xdr:rowOff>
    </xdr:from>
    <xdr:to>
      <xdr:col>28</xdr:col>
      <xdr:colOff>0</xdr:colOff>
      <xdr:row>36</xdr:row>
      <xdr:rowOff>85725</xdr:rowOff>
    </xdr:to>
    <xdr:pic>
      <xdr:nvPicPr>
        <xdr:cNvPr id="76636" name="Immagine 10">
          <a:hlinkClick xmlns:r="http://schemas.openxmlformats.org/officeDocument/2006/relationships" r:id="rId14"/>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34175" y="558165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247650</xdr:colOff>
      <xdr:row>26</xdr:row>
      <xdr:rowOff>47625</xdr:rowOff>
    </xdr:from>
    <xdr:to>
      <xdr:col>40</xdr:col>
      <xdr:colOff>47625</xdr:colOff>
      <xdr:row>28</xdr:row>
      <xdr:rowOff>85725</xdr:rowOff>
    </xdr:to>
    <xdr:pic>
      <xdr:nvPicPr>
        <xdr:cNvPr id="76637" name="Immagine 13">
          <a:hlinkClick xmlns:r="http://schemas.openxmlformats.org/officeDocument/2006/relationships" r:id="rId15"/>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772650" y="428625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209550</xdr:colOff>
      <xdr:row>30</xdr:row>
      <xdr:rowOff>85725</xdr:rowOff>
    </xdr:from>
    <xdr:to>
      <xdr:col>40</xdr:col>
      <xdr:colOff>0</xdr:colOff>
      <xdr:row>32</xdr:row>
      <xdr:rowOff>123825</xdr:rowOff>
    </xdr:to>
    <xdr:pic>
      <xdr:nvPicPr>
        <xdr:cNvPr id="76639" name="Immagine 1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734550" y="497205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209550</xdr:colOff>
      <xdr:row>10</xdr:row>
      <xdr:rowOff>76200</xdr:rowOff>
    </xdr:from>
    <xdr:to>
      <xdr:col>19</xdr:col>
      <xdr:colOff>0</xdr:colOff>
      <xdr:row>12</xdr:row>
      <xdr:rowOff>114300</xdr:rowOff>
    </xdr:to>
    <xdr:pic>
      <xdr:nvPicPr>
        <xdr:cNvPr id="76640" name="Immagine 3">
          <a:hlinkClick xmlns:r="http://schemas.openxmlformats.org/officeDocument/2006/relationships" r:id="rId5"/>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62450" y="1724025"/>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180975</xdr:colOff>
      <xdr:row>18</xdr:row>
      <xdr:rowOff>85725</xdr:rowOff>
    </xdr:from>
    <xdr:to>
      <xdr:col>18</xdr:col>
      <xdr:colOff>0</xdr:colOff>
      <xdr:row>20</xdr:row>
      <xdr:rowOff>123825</xdr:rowOff>
    </xdr:to>
    <xdr:pic>
      <xdr:nvPicPr>
        <xdr:cNvPr id="76641" name="Immagine 4">
          <a:hlinkClick xmlns:r="http://schemas.openxmlformats.org/officeDocument/2006/relationships" r:id="rId6"/>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14800" y="302895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209550</xdr:colOff>
      <xdr:row>26</xdr:row>
      <xdr:rowOff>66675</xdr:rowOff>
    </xdr:from>
    <xdr:to>
      <xdr:col>19</xdr:col>
      <xdr:colOff>0</xdr:colOff>
      <xdr:row>28</xdr:row>
      <xdr:rowOff>104775</xdr:rowOff>
    </xdr:to>
    <xdr:pic>
      <xdr:nvPicPr>
        <xdr:cNvPr id="76642" name="Immagine 7">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62450" y="430530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180975</xdr:colOff>
      <xdr:row>22</xdr:row>
      <xdr:rowOff>66675</xdr:rowOff>
    </xdr:from>
    <xdr:to>
      <xdr:col>18</xdr:col>
      <xdr:colOff>0</xdr:colOff>
      <xdr:row>24</xdr:row>
      <xdr:rowOff>104775</xdr:rowOff>
    </xdr:to>
    <xdr:pic>
      <xdr:nvPicPr>
        <xdr:cNvPr id="76643" name="Immagine 4">
          <a:hlinkClick xmlns:r="http://schemas.openxmlformats.org/officeDocument/2006/relationships" r:id="rId13"/>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14800" y="365760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76200</xdr:colOff>
      <xdr:row>18</xdr:row>
      <xdr:rowOff>66675</xdr:rowOff>
    </xdr:from>
    <xdr:to>
      <xdr:col>49</xdr:col>
      <xdr:colOff>38100</xdr:colOff>
      <xdr:row>20</xdr:row>
      <xdr:rowOff>104775</xdr:rowOff>
    </xdr:to>
    <xdr:pic>
      <xdr:nvPicPr>
        <xdr:cNvPr id="29" name="Immagine 9">
          <a:hlinkClick xmlns:r="http://schemas.openxmlformats.org/officeDocument/2006/relationships" r:id="rId6"/>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63425" y="300990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66675</xdr:colOff>
      <xdr:row>22</xdr:row>
      <xdr:rowOff>66675</xdr:rowOff>
    </xdr:from>
    <xdr:to>
      <xdr:col>49</xdr:col>
      <xdr:colOff>28575</xdr:colOff>
      <xdr:row>24</xdr:row>
      <xdr:rowOff>104775</xdr:rowOff>
    </xdr:to>
    <xdr:pic>
      <xdr:nvPicPr>
        <xdr:cNvPr id="30" name="Immagine 9">
          <a:hlinkClick xmlns:r="http://schemas.openxmlformats.org/officeDocument/2006/relationships" r:id="rId13"/>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53900" y="365760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333375</xdr:colOff>
      <xdr:row>2</xdr:row>
      <xdr:rowOff>19050</xdr:rowOff>
    </xdr:from>
    <xdr:to>
      <xdr:col>6</xdr:col>
      <xdr:colOff>333375</xdr:colOff>
      <xdr:row>6</xdr:row>
      <xdr:rowOff>9525</xdr:rowOff>
    </xdr:to>
    <xdr:pic>
      <xdr:nvPicPr>
        <xdr:cNvPr id="16923" name="Immagin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53400" y="371475"/>
          <a:ext cx="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314325</xdr:colOff>
      <xdr:row>1</xdr:row>
      <xdr:rowOff>47625</xdr:rowOff>
    </xdr:from>
    <xdr:to>
      <xdr:col>6</xdr:col>
      <xdr:colOff>923925</xdr:colOff>
      <xdr:row>4</xdr:row>
      <xdr:rowOff>142875</xdr:rowOff>
    </xdr:to>
    <xdr:pic>
      <xdr:nvPicPr>
        <xdr:cNvPr id="16924" name="Immagine 1">
          <a:hlinkClick xmlns:r="http://schemas.openxmlformats.org/officeDocument/2006/relationships" r:id="rId2"/>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34350" y="209550"/>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333375</xdr:colOff>
      <xdr:row>1</xdr:row>
      <xdr:rowOff>28575</xdr:rowOff>
    </xdr:from>
    <xdr:to>
      <xdr:col>14</xdr:col>
      <xdr:colOff>942975</xdr:colOff>
      <xdr:row>4</xdr:row>
      <xdr:rowOff>9525</xdr:rowOff>
    </xdr:to>
    <xdr:pic>
      <xdr:nvPicPr>
        <xdr:cNvPr id="26039" name="Immagin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82300" y="190500"/>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333375</xdr:colOff>
      <xdr:row>1</xdr:row>
      <xdr:rowOff>57150</xdr:rowOff>
    </xdr:from>
    <xdr:to>
      <xdr:col>8</xdr:col>
      <xdr:colOff>942975</xdr:colOff>
      <xdr:row>5</xdr:row>
      <xdr:rowOff>19050</xdr:rowOff>
    </xdr:to>
    <xdr:pic>
      <xdr:nvPicPr>
        <xdr:cNvPr id="69045" name="Immagin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34475" y="219075"/>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323850</xdr:colOff>
      <xdr:row>2</xdr:row>
      <xdr:rowOff>57150</xdr:rowOff>
    </xdr:from>
    <xdr:to>
      <xdr:col>16</xdr:col>
      <xdr:colOff>933450</xdr:colOff>
      <xdr:row>6</xdr:row>
      <xdr:rowOff>19050</xdr:rowOff>
    </xdr:to>
    <xdr:pic>
      <xdr:nvPicPr>
        <xdr:cNvPr id="45311" name="Immagin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91475" y="219075"/>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323850</xdr:colOff>
      <xdr:row>2</xdr:row>
      <xdr:rowOff>66675</xdr:rowOff>
    </xdr:from>
    <xdr:to>
      <xdr:col>18</xdr:col>
      <xdr:colOff>933450</xdr:colOff>
      <xdr:row>6</xdr:row>
      <xdr:rowOff>28575</xdr:rowOff>
    </xdr:to>
    <xdr:pic>
      <xdr:nvPicPr>
        <xdr:cNvPr id="46312" name="Immagin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96575" y="390525"/>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314325</xdr:colOff>
      <xdr:row>1</xdr:row>
      <xdr:rowOff>57150</xdr:rowOff>
    </xdr:from>
    <xdr:to>
      <xdr:col>16</xdr:col>
      <xdr:colOff>923925</xdr:colOff>
      <xdr:row>5</xdr:row>
      <xdr:rowOff>19050</xdr:rowOff>
    </xdr:to>
    <xdr:pic>
      <xdr:nvPicPr>
        <xdr:cNvPr id="43245" name="Immagin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1500" y="247650"/>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314325</xdr:colOff>
      <xdr:row>1</xdr:row>
      <xdr:rowOff>66675</xdr:rowOff>
    </xdr:from>
    <xdr:to>
      <xdr:col>16</xdr:col>
      <xdr:colOff>923925</xdr:colOff>
      <xdr:row>5</xdr:row>
      <xdr:rowOff>28575</xdr:rowOff>
    </xdr:to>
    <xdr:pic>
      <xdr:nvPicPr>
        <xdr:cNvPr id="15138" name="Immagin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1500" y="257175"/>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323850</xdr:colOff>
      <xdr:row>2</xdr:row>
      <xdr:rowOff>57150</xdr:rowOff>
    </xdr:from>
    <xdr:to>
      <xdr:col>4</xdr:col>
      <xdr:colOff>933450</xdr:colOff>
      <xdr:row>4</xdr:row>
      <xdr:rowOff>19050</xdr:rowOff>
    </xdr:to>
    <xdr:pic>
      <xdr:nvPicPr>
        <xdr:cNvPr id="52377" name="Immagin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14700" y="790575"/>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A1:BI51"/>
  <sheetViews>
    <sheetView showGridLines="0" tabSelected="1" workbookViewId="0"/>
  </sheetViews>
  <sheetFormatPr defaultColWidth="0" defaultRowHeight="12.75" zeroHeight="1" x14ac:dyDescent="0.2"/>
  <cols>
    <col min="1" max="1" width="3.28515625" style="591" customWidth="1"/>
    <col min="2" max="3" width="3.7109375" style="591" customWidth="1"/>
    <col min="4" max="7" width="3.28515625" style="591" customWidth="1"/>
    <col min="8" max="8" width="5.7109375" style="591" customWidth="1"/>
    <col min="9" max="10" width="3.7109375" style="591" customWidth="1"/>
    <col min="11" max="11" width="4.7109375" style="591" customWidth="1"/>
    <col min="12" max="13" width="3.7109375" style="591" customWidth="1"/>
    <col min="14" max="17" width="3.28515625" style="591" customWidth="1"/>
    <col min="18" max="18" width="5.7109375" style="591" customWidth="1"/>
    <col min="19" max="20" width="3.7109375" style="591" customWidth="1"/>
    <col min="21" max="22" width="4.7109375" style="591" customWidth="1"/>
    <col min="23" max="23" width="3.7109375" style="591" customWidth="1"/>
    <col min="24" max="27" width="3.28515625" style="591" customWidth="1"/>
    <col min="28" max="28" width="5.7109375" style="591" customWidth="1"/>
    <col min="29" max="29" width="3.7109375" style="591" customWidth="1"/>
    <col min="30" max="30" width="4.7109375" style="591" customWidth="1"/>
    <col min="31" max="32" width="2.7109375" style="591" customWidth="1"/>
    <col min="33" max="33" width="4.7109375" style="591" customWidth="1"/>
    <col min="34" max="34" width="3.7109375" style="591" customWidth="1"/>
    <col min="35" max="38" width="3.28515625" style="591" customWidth="1"/>
    <col min="39" max="39" width="5.7109375" style="591" customWidth="1"/>
    <col min="40" max="40" width="3.7109375" style="591" customWidth="1"/>
    <col min="41" max="43" width="4.7109375" style="591" customWidth="1"/>
    <col min="44" max="48" width="3.7109375" style="591" customWidth="1"/>
    <col min="49" max="49" width="3.28515625" style="591" customWidth="1"/>
    <col min="50" max="50" width="4.28515625" style="591" customWidth="1"/>
    <col min="51" max="51" width="4.7109375" style="591" customWidth="1"/>
    <col min="52" max="52" width="3.28515625" style="591" customWidth="1"/>
    <col min="53" max="61" width="0" style="591" hidden="1" customWidth="1"/>
    <col min="62" max="16384" width="6.7109375" style="591" hidden="1"/>
  </cols>
  <sheetData>
    <row r="1" spans="1:51" ht="12.75" customHeight="1" x14ac:dyDescent="0.2">
      <c r="A1" s="591" t="s">
        <v>33</v>
      </c>
      <c r="B1" s="775" t="s">
        <v>323</v>
      </c>
      <c r="C1" s="775"/>
      <c r="D1" s="775"/>
      <c r="E1" s="775"/>
      <c r="F1" s="775"/>
      <c r="G1" s="775"/>
      <c r="H1" s="775"/>
      <c r="I1" s="775"/>
      <c r="J1" s="775"/>
      <c r="K1" s="775"/>
      <c r="L1" s="775"/>
      <c r="M1" s="775"/>
      <c r="N1" s="775"/>
      <c r="O1" s="775"/>
      <c r="P1" s="775"/>
      <c r="Q1" s="775"/>
      <c r="R1" s="775"/>
      <c r="S1" s="775"/>
      <c r="T1" s="775"/>
      <c r="U1" s="775"/>
    </row>
    <row r="2" spans="1:51" ht="15" customHeight="1" thickBot="1" x14ac:dyDescent="0.25">
      <c r="B2" s="775"/>
      <c r="C2" s="775"/>
      <c r="D2" s="775"/>
      <c r="E2" s="775"/>
      <c r="F2" s="775"/>
      <c r="G2" s="775"/>
      <c r="H2" s="775"/>
      <c r="I2" s="775"/>
      <c r="J2" s="775"/>
      <c r="K2" s="775"/>
      <c r="L2" s="775"/>
      <c r="M2" s="775"/>
      <c r="N2" s="775"/>
      <c r="O2" s="775"/>
      <c r="P2" s="775"/>
      <c r="Q2" s="775"/>
      <c r="R2" s="775"/>
      <c r="S2" s="775"/>
      <c r="T2" s="775"/>
      <c r="U2" s="775"/>
    </row>
    <row r="3" spans="1:51" ht="12.75" customHeight="1" x14ac:dyDescent="0.2">
      <c r="B3" s="775"/>
      <c r="C3" s="775"/>
      <c r="D3" s="775"/>
      <c r="E3" s="775"/>
      <c r="F3" s="775"/>
      <c r="G3" s="775"/>
      <c r="H3" s="775"/>
      <c r="I3" s="775"/>
      <c r="J3" s="775"/>
      <c r="K3" s="775"/>
      <c r="L3" s="775"/>
      <c r="M3" s="775"/>
      <c r="N3" s="775"/>
      <c r="O3" s="775"/>
      <c r="P3" s="775"/>
      <c r="Q3" s="775"/>
      <c r="R3" s="775"/>
      <c r="S3" s="775"/>
      <c r="T3" s="775"/>
      <c r="U3" s="775"/>
      <c r="W3" s="758" t="s">
        <v>59</v>
      </c>
      <c r="X3" s="761" t="s">
        <v>322</v>
      </c>
      <c r="Y3" s="761"/>
      <c r="Z3" s="761"/>
      <c r="AA3" s="761"/>
      <c r="AB3" s="761"/>
      <c r="AC3" s="709"/>
      <c r="AD3" s="692"/>
      <c r="AK3" s="592"/>
      <c r="AL3" s="592"/>
    </row>
    <row r="4" spans="1:51" ht="12.75" customHeight="1" x14ac:dyDescent="0.2">
      <c r="B4" s="775"/>
      <c r="C4" s="775"/>
      <c r="D4" s="775"/>
      <c r="E4" s="775"/>
      <c r="F4" s="775"/>
      <c r="G4" s="775"/>
      <c r="H4" s="775"/>
      <c r="I4" s="775"/>
      <c r="J4" s="775"/>
      <c r="K4" s="775"/>
      <c r="L4" s="775"/>
      <c r="M4" s="775"/>
      <c r="N4" s="775"/>
      <c r="O4" s="775"/>
      <c r="P4" s="775"/>
      <c r="Q4" s="775"/>
      <c r="R4" s="775"/>
      <c r="S4" s="775"/>
      <c r="T4" s="775"/>
      <c r="U4" s="775"/>
      <c r="V4" s="693"/>
      <c r="W4" s="759"/>
      <c r="X4" s="762"/>
      <c r="Y4" s="762"/>
      <c r="Z4" s="762"/>
      <c r="AA4" s="762"/>
      <c r="AB4" s="762"/>
      <c r="AC4" s="710"/>
      <c r="AD4" s="692"/>
      <c r="AK4" s="592"/>
      <c r="AL4" s="592"/>
    </row>
    <row r="5" spans="1:51" ht="12.75" customHeight="1" thickBot="1" x14ac:dyDescent="0.25">
      <c r="B5" s="775"/>
      <c r="C5" s="775"/>
      <c r="D5" s="775"/>
      <c r="E5" s="775"/>
      <c r="F5" s="775"/>
      <c r="G5" s="775"/>
      <c r="H5" s="775"/>
      <c r="I5" s="775"/>
      <c r="J5" s="775"/>
      <c r="K5" s="775"/>
      <c r="L5" s="775"/>
      <c r="M5" s="775"/>
      <c r="N5" s="775"/>
      <c r="O5" s="775"/>
      <c r="P5" s="775"/>
      <c r="Q5" s="775"/>
      <c r="R5" s="775"/>
      <c r="S5" s="775"/>
      <c r="T5" s="775"/>
      <c r="U5" s="775"/>
      <c r="V5" s="693"/>
      <c r="W5" s="760"/>
      <c r="X5" s="763"/>
      <c r="Y5" s="763"/>
      <c r="Z5" s="763"/>
      <c r="AA5" s="763"/>
      <c r="AB5" s="763"/>
      <c r="AC5" s="711"/>
      <c r="AD5" s="692"/>
      <c r="AK5" s="592"/>
      <c r="AL5" s="592"/>
    </row>
    <row r="6" spans="1:51" ht="12.75" customHeight="1" x14ac:dyDescent="0.2">
      <c r="X6" s="593"/>
      <c r="Y6" s="593"/>
      <c r="Z6" s="593"/>
      <c r="AA6" s="708"/>
      <c r="AB6" s="593"/>
      <c r="AC6" s="593"/>
      <c r="AD6" s="594"/>
      <c r="AE6" s="594"/>
      <c r="AF6" s="683"/>
      <c r="AG6" s="594"/>
      <c r="AH6" s="594"/>
      <c r="AI6" s="594"/>
    </row>
    <row r="7" spans="1:51" ht="12.75" customHeight="1" thickBot="1" x14ac:dyDescent="0.25">
      <c r="G7" s="595"/>
      <c r="H7" s="596"/>
      <c r="I7" s="596"/>
      <c r="J7" s="596"/>
      <c r="K7" s="596"/>
      <c r="L7" s="596"/>
      <c r="M7" s="596"/>
      <c r="N7" s="596"/>
      <c r="O7" s="596"/>
      <c r="P7" s="596"/>
      <c r="Q7" s="676"/>
      <c r="R7" s="596"/>
      <c r="S7" s="596"/>
      <c r="T7" s="596"/>
      <c r="U7" s="596"/>
      <c r="V7" s="596"/>
      <c r="W7" s="596"/>
      <c r="X7" s="597"/>
      <c r="Y7" s="597"/>
      <c r="Z7" s="597"/>
      <c r="AA7" s="598"/>
      <c r="AB7" s="597"/>
      <c r="AC7" s="597"/>
      <c r="AD7" s="597"/>
      <c r="AE7" s="597"/>
      <c r="AF7" s="596"/>
      <c r="AG7" s="596"/>
      <c r="AH7" s="596"/>
      <c r="AI7" s="596"/>
      <c r="AJ7" s="596"/>
      <c r="AK7" s="596"/>
      <c r="AL7" s="676"/>
      <c r="AM7" s="596"/>
      <c r="AN7" s="596"/>
      <c r="AO7" s="596"/>
      <c r="AP7" s="596"/>
      <c r="AQ7" s="596"/>
      <c r="AR7" s="596"/>
      <c r="AS7" s="596"/>
      <c r="AT7" s="596"/>
      <c r="AU7" s="687"/>
      <c r="AV7" s="721"/>
      <c r="AW7" s="599"/>
    </row>
    <row r="8" spans="1:51" ht="12.75" customHeight="1" x14ac:dyDescent="0.2">
      <c r="B8" s="785" t="s">
        <v>59</v>
      </c>
      <c r="C8" s="787" t="s">
        <v>166</v>
      </c>
      <c r="D8" s="787"/>
      <c r="E8" s="787"/>
      <c r="F8" s="787"/>
      <c r="G8" s="787"/>
      <c r="H8" s="787"/>
      <c r="I8" s="787"/>
      <c r="J8" s="788"/>
      <c r="L8" s="785" t="s">
        <v>59</v>
      </c>
      <c r="M8" s="787" t="s">
        <v>314</v>
      </c>
      <c r="N8" s="787"/>
      <c r="O8" s="787"/>
      <c r="P8" s="787"/>
      <c r="Q8" s="787"/>
      <c r="R8" s="787"/>
      <c r="S8" s="787"/>
      <c r="T8" s="788"/>
      <c r="V8" s="785" t="s">
        <v>59</v>
      </c>
      <c r="W8" s="764" t="s">
        <v>0</v>
      </c>
      <c r="X8" s="764"/>
      <c r="Y8" s="764"/>
      <c r="Z8" s="764"/>
      <c r="AA8" s="764"/>
      <c r="AB8" s="764"/>
      <c r="AC8" s="764"/>
      <c r="AD8" s="765"/>
      <c r="AG8" s="831" t="s">
        <v>59</v>
      </c>
      <c r="AH8" s="825" t="s">
        <v>108</v>
      </c>
      <c r="AI8" s="825"/>
      <c r="AJ8" s="825"/>
      <c r="AK8" s="825"/>
      <c r="AL8" s="825"/>
      <c r="AM8" s="825"/>
      <c r="AN8" s="825"/>
      <c r="AO8" s="826"/>
      <c r="AQ8" s="785" t="s">
        <v>59</v>
      </c>
      <c r="AR8" s="764" t="s">
        <v>292</v>
      </c>
      <c r="AS8" s="764"/>
      <c r="AT8" s="764"/>
      <c r="AU8" s="764"/>
      <c r="AV8" s="764"/>
      <c r="AW8" s="764"/>
      <c r="AX8" s="764"/>
      <c r="AY8" s="765"/>
    </row>
    <row r="9" spans="1:51" ht="12.75" customHeight="1" x14ac:dyDescent="0.2">
      <c r="B9" s="786"/>
      <c r="C9" s="789"/>
      <c r="D9" s="789"/>
      <c r="E9" s="789"/>
      <c r="F9" s="789"/>
      <c r="G9" s="789"/>
      <c r="H9" s="789"/>
      <c r="I9" s="789"/>
      <c r="J9" s="790"/>
      <c r="L9" s="786"/>
      <c r="M9" s="789"/>
      <c r="N9" s="789"/>
      <c r="O9" s="789"/>
      <c r="P9" s="789"/>
      <c r="Q9" s="789"/>
      <c r="R9" s="789"/>
      <c r="S9" s="789"/>
      <c r="T9" s="790"/>
      <c r="V9" s="786"/>
      <c r="W9" s="766"/>
      <c r="X9" s="766"/>
      <c r="Y9" s="766"/>
      <c r="Z9" s="766"/>
      <c r="AA9" s="766"/>
      <c r="AB9" s="766"/>
      <c r="AC9" s="766"/>
      <c r="AD9" s="767"/>
      <c r="AG9" s="832"/>
      <c r="AH9" s="827"/>
      <c r="AI9" s="827"/>
      <c r="AJ9" s="827"/>
      <c r="AK9" s="827"/>
      <c r="AL9" s="827"/>
      <c r="AM9" s="827"/>
      <c r="AN9" s="827"/>
      <c r="AO9" s="828"/>
      <c r="AQ9" s="786"/>
      <c r="AR9" s="766"/>
      <c r="AS9" s="766"/>
      <c r="AT9" s="766"/>
      <c r="AU9" s="766"/>
      <c r="AV9" s="766"/>
      <c r="AW9" s="766"/>
      <c r="AX9" s="766"/>
      <c r="AY9" s="767"/>
    </row>
    <row r="10" spans="1:51" ht="12.75" customHeight="1" x14ac:dyDescent="0.2">
      <c r="B10" s="600"/>
      <c r="C10" s="601"/>
      <c r="D10" s="601"/>
      <c r="E10" s="601"/>
      <c r="F10" s="601"/>
      <c r="G10" s="601"/>
      <c r="H10" s="601"/>
      <c r="I10" s="601"/>
      <c r="J10" s="602"/>
      <c r="L10" s="600"/>
      <c r="M10" s="601"/>
      <c r="N10" s="601"/>
      <c r="O10" s="601"/>
      <c r="P10" s="601"/>
      <c r="Q10" s="601"/>
      <c r="R10" s="601"/>
      <c r="S10" s="601"/>
      <c r="T10" s="602"/>
      <c r="V10" s="600"/>
      <c r="W10" s="601"/>
      <c r="X10" s="601"/>
      <c r="Y10" s="601"/>
      <c r="Z10" s="601"/>
      <c r="AA10" s="601"/>
      <c r="AB10" s="601"/>
      <c r="AC10" s="601"/>
      <c r="AD10" s="602"/>
      <c r="AG10" s="600"/>
      <c r="AH10" s="601"/>
      <c r="AI10" s="601"/>
      <c r="AJ10" s="601"/>
      <c r="AK10" s="601"/>
      <c r="AL10" s="601"/>
      <c r="AM10" s="601"/>
      <c r="AN10" s="601"/>
      <c r="AO10" s="602"/>
      <c r="AQ10" s="600"/>
      <c r="AR10" s="601"/>
      <c r="AS10" s="601"/>
      <c r="AT10" s="601"/>
      <c r="AU10" s="601"/>
      <c r="AV10" s="601"/>
      <c r="AW10" s="601"/>
      <c r="AX10" s="601"/>
      <c r="AY10" s="602"/>
    </row>
    <row r="11" spans="1:51" ht="12.75" customHeight="1" x14ac:dyDescent="0.2">
      <c r="B11" s="603"/>
      <c r="C11" s="774" t="s">
        <v>59</v>
      </c>
      <c r="D11" s="777" t="s">
        <v>294</v>
      </c>
      <c r="E11" s="777"/>
      <c r="F11" s="777"/>
      <c r="G11" s="777"/>
      <c r="H11" s="777"/>
      <c r="I11" s="694"/>
      <c r="J11" s="604"/>
      <c r="K11" s="666"/>
      <c r="L11" s="603"/>
      <c r="M11" s="774" t="s">
        <v>59</v>
      </c>
      <c r="N11" s="777" t="s">
        <v>294</v>
      </c>
      <c r="O11" s="777"/>
      <c r="P11" s="777"/>
      <c r="Q11" s="777"/>
      <c r="R11" s="777"/>
      <c r="S11" s="694"/>
      <c r="T11" s="604"/>
      <c r="U11" s="666"/>
      <c r="V11" s="603"/>
      <c r="W11" s="774" t="s">
        <v>59</v>
      </c>
      <c r="X11" s="829" t="s">
        <v>294</v>
      </c>
      <c r="Y11" s="830"/>
      <c r="Z11" s="830"/>
      <c r="AA11" s="830"/>
      <c r="AB11" s="830"/>
      <c r="AC11" s="830"/>
      <c r="AD11" s="604"/>
      <c r="AG11" s="603"/>
      <c r="AH11" s="774" t="s">
        <v>59</v>
      </c>
      <c r="AI11" s="798" t="s">
        <v>294</v>
      </c>
      <c r="AJ11" s="798"/>
      <c r="AK11" s="798"/>
      <c r="AL11" s="798"/>
      <c r="AM11" s="798"/>
      <c r="AN11" s="817"/>
      <c r="AO11" s="604"/>
      <c r="AQ11" s="603"/>
      <c r="AR11" s="774" t="s">
        <v>59</v>
      </c>
      <c r="AS11" s="777" t="s">
        <v>316</v>
      </c>
      <c r="AT11" s="777"/>
      <c r="AU11" s="777"/>
      <c r="AV11" s="777"/>
      <c r="AW11" s="777"/>
      <c r="AX11" s="694"/>
      <c r="AY11" s="604"/>
    </row>
    <row r="12" spans="1:51" ht="12.75" customHeight="1" x14ac:dyDescent="0.2">
      <c r="B12" s="603"/>
      <c r="C12" s="774"/>
      <c r="D12" s="779"/>
      <c r="E12" s="779"/>
      <c r="F12" s="779"/>
      <c r="G12" s="779"/>
      <c r="H12" s="779"/>
      <c r="I12" s="695"/>
      <c r="J12" s="604"/>
      <c r="K12" s="666"/>
      <c r="L12" s="603"/>
      <c r="M12" s="774"/>
      <c r="N12" s="779"/>
      <c r="O12" s="779"/>
      <c r="P12" s="779"/>
      <c r="Q12" s="779"/>
      <c r="R12" s="779"/>
      <c r="S12" s="695"/>
      <c r="T12" s="604"/>
      <c r="U12" s="666"/>
      <c r="V12" s="603"/>
      <c r="W12" s="774"/>
      <c r="X12" s="829"/>
      <c r="Y12" s="830"/>
      <c r="Z12" s="830"/>
      <c r="AA12" s="830"/>
      <c r="AB12" s="830"/>
      <c r="AC12" s="830"/>
      <c r="AD12" s="604"/>
      <c r="AG12" s="603"/>
      <c r="AH12" s="774"/>
      <c r="AI12" s="800"/>
      <c r="AJ12" s="800"/>
      <c r="AK12" s="800"/>
      <c r="AL12" s="800"/>
      <c r="AM12" s="800"/>
      <c r="AN12" s="818"/>
      <c r="AO12" s="604"/>
      <c r="AQ12" s="603"/>
      <c r="AR12" s="774"/>
      <c r="AS12" s="779"/>
      <c r="AT12" s="779"/>
      <c r="AU12" s="779"/>
      <c r="AV12" s="779"/>
      <c r="AW12" s="779"/>
      <c r="AX12" s="695"/>
      <c r="AY12" s="604"/>
    </row>
    <row r="13" spans="1:51" ht="12.75" customHeight="1" x14ac:dyDescent="0.2">
      <c r="B13" s="603"/>
      <c r="C13" s="774"/>
      <c r="D13" s="781"/>
      <c r="E13" s="781"/>
      <c r="F13" s="781"/>
      <c r="G13" s="781"/>
      <c r="H13" s="781"/>
      <c r="I13" s="696"/>
      <c r="J13" s="604"/>
      <c r="L13" s="603"/>
      <c r="M13" s="774"/>
      <c r="N13" s="781"/>
      <c r="O13" s="781"/>
      <c r="P13" s="781"/>
      <c r="Q13" s="781"/>
      <c r="R13" s="781"/>
      <c r="S13" s="696"/>
      <c r="T13" s="604"/>
      <c r="V13" s="603"/>
      <c r="W13" s="774"/>
      <c r="X13" s="829"/>
      <c r="Y13" s="830"/>
      <c r="Z13" s="830"/>
      <c r="AA13" s="830"/>
      <c r="AB13" s="830"/>
      <c r="AC13" s="830"/>
      <c r="AD13" s="604"/>
      <c r="AG13" s="603"/>
      <c r="AH13" s="774"/>
      <c r="AI13" s="802"/>
      <c r="AJ13" s="802"/>
      <c r="AK13" s="802"/>
      <c r="AL13" s="802"/>
      <c r="AM13" s="802"/>
      <c r="AN13" s="819"/>
      <c r="AO13" s="604"/>
      <c r="AQ13" s="603"/>
      <c r="AR13" s="774"/>
      <c r="AS13" s="781"/>
      <c r="AT13" s="781"/>
      <c r="AU13" s="781"/>
      <c r="AV13" s="781"/>
      <c r="AW13" s="781"/>
      <c r="AX13" s="696"/>
      <c r="AY13" s="604"/>
    </row>
    <row r="14" spans="1:51" ht="12.75" customHeight="1" x14ac:dyDescent="0.2">
      <c r="B14" s="603"/>
      <c r="C14" s="605"/>
      <c r="D14" s="605"/>
      <c r="E14" s="605"/>
      <c r="F14" s="605"/>
      <c r="G14" s="605"/>
      <c r="H14" s="605"/>
      <c r="I14" s="605"/>
      <c r="J14" s="604"/>
      <c r="L14" s="603"/>
      <c r="M14" s="605"/>
      <c r="N14" s="605"/>
      <c r="O14" s="605"/>
      <c r="P14" s="605"/>
      <c r="Q14" s="605"/>
      <c r="R14" s="605"/>
      <c r="S14" s="605"/>
      <c r="T14" s="604"/>
      <c r="V14" s="603"/>
      <c r="W14" s="605"/>
      <c r="X14" s="605"/>
      <c r="Y14" s="605"/>
      <c r="Z14" s="605"/>
      <c r="AA14" s="605"/>
      <c r="AB14" s="605"/>
      <c r="AC14" s="605"/>
      <c r="AD14" s="604"/>
      <c r="AG14" s="603"/>
      <c r="AH14" s="605"/>
      <c r="AI14" s="605"/>
      <c r="AJ14" s="605"/>
      <c r="AK14" s="605"/>
      <c r="AL14" s="605"/>
      <c r="AM14" s="605"/>
      <c r="AN14" s="605"/>
      <c r="AO14" s="604"/>
      <c r="AQ14" s="603"/>
      <c r="AR14" s="605"/>
      <c r="AS14" s="605"/>
      <c r="AT14" s="605"/>
      <c r="AU14" s="668"/>
      <c r="AV14" s="605"/>
      <c r="AW14" s="605"/>
      <c r="AX14" s="605"/>
      <c r="AY14" s="604"/>
    </row>
    <row r="15" spans="1:51" ht="12.75" customHeight="1" x14ac:dyDescent="0.2">
      <c r="B15" s="603"/>
      <c r="C15" s="774" t="s">
        <v>59</v>
      </c>
      <c r="D15" s="768" t="s">
        <v>299</v>
      </c>
      <c r="E15" s="768"/>
      <c r="F15" s="768"/>
      <c r="G15" s="768"/>
      <c r="H15" s="768"/>
      <c r="I15" s="769"/>
      <c r="J15" s="604"/>
      <c r="L15" s="603"/>
      <c r="M15" s="774" t="s">
        <v>59</v>
      </c>
      <c r="N15" s="768" t="s">
        <v>299</v>
      </c>
      <c r="O15" s="768"/>
      <c r="P15" s="768"/>
      <c r="Q15" s="768"/>
      <c r="R15" s="768"/>
      <c r="S15" s="769"/>
      <c r="T15" s="604"/>
      <c r="V15" s="603"/>
      <c r="W15" s="774" t="s">
        <v>59</v>
      </c>
      <c r="X15" s="820" t="s">
        <v>299</v>
      </c>
      <c r="Y15" s="821"/>
      <c r="Z15" s="821"/>
      <c r="AA15" s="821"/>
      <c r="AB15" s="821"/>
      <c r="AC15" s="821"/>
      <c r="AD15" s="604"/>
      <c r="AG15" s="603"/>
      <c r="AH15" s="774" t="s">
        <v>59</v>
      </c>
      <c r="AI15" s="768" t="s">
        <v>299</v>
      </c>
      <c r="AJ15" s="768"/>
      <c r="AK15" s="768"/>
      <c r="AL15" s="768"/>
      <c r="AM15" s="768"/>
      <c r="AN15" s="769"/>
      <c r="AO15" s="604"/>
      <c r="AQ15" s="603"/>
      <c r="AR15" s="822" t="s">
        <v>59</v>
      </c>
      <c r="AS15" s="768" t="s">
        <v>299</v>
      </c>
      <c r="AT15" s="768"/>
      <c r="AU15" s="768"/>
      <c r="AV15" s="768"/>
      <c r="AW15" s="768"/>
      <c r="AX15" s="716"/>
      <c r="AY15" s="604"/>
    </row>
    <row r="16" spans="1:51" ht="12.75" customHeight="1" x14ac:dyDescent="0.2">
      <c r="B16" s="603"/>
      <c r="C16" s="774"/>
      <c r="D16" s="770"/>
      <c r="E16" s="770"/>
      <c r="F16" s="770"/>
      <c r="G16" s="770"/>
      <c r="H16" s="770"/>
      <c r="I16" s="771"/>
      <c r="J16" s="604"/>
      <c r="L16" s="603"/>
      <c r="M16" s="774"/>
      <c r="N16" s="770"/>
      <c r="O16" s="770"/>
      <c r="P16" s="770"/>
      <c r="Q16" s="770"/>
      <c r="R16" s="770"/>
      <c r="S16" s="771"/>
      <c r="T16" s="604"/>
      <c r="V16" s="603"/>
      <c r="W16" s="774"/>
      <c r="X16" s="820"/>
      <c r="Y16" s="821"/>
      <c r="Z16" s="821"/>
      <c r="AA16" s="821"/>
      <c r="AB16" s="821"/>
      <c r="AC16" s="821"/>
      <c r="AD16" s="604"/>
      <c r="AG16" s="603"/>
      <c r="AH16" s="774"/>
      <c r="AI16" s="770"/>
      <c r="AJ16" s="770"/>
      <c r="AK16" s="770"/>
      <c r="AL16" s="770"/>
      <c r="AM16" s="770"/>
      <c r="AN16" s="771"/>
      <c r="AO16" s="604"/>
      <c r="AQ16" s="603"/>
      <c r="AR16" s="823"/>
      <c r="AS16" s="770"/>
      <c r="AT16" s="770"/>
      <c r="AU16" s="770"/>
      <c r="AV16" s="770"/>
      <c r="AW16" s="770"/>
      <c r="AX16" s="717"/>
      <c r="AY16" s="604"/>
    </row>
    <row r="17" spans="2:51" ht="12.75" customHeight="1" x14ac:dyDescent="0.2">
      <c r="B17" s="603"/>
      <c r="C17" s="774"/>
      <c r="D17" s="772"/>
      <c r="E17" s="772"/>
      <c r="F17" s="772"/>
      <c r="G17" s="772"/>
      <c r="H17" s="772"/>
      <c r="I17" s="773"/>
      <c r="J17" s="604"/>
      <c r="L17" s="603"/>
      <c r="M17" s="774"/>
      <c r="N17" s="772"/>
      <c r="O17" s="772"/>
      <c r="P17" s="772"/>
      <c r="Q17" s="772"/>
      <c r="R17" s="772"/>
      <c r="S17" s="773"/>
      <c r="T17" s="604"/>
      <c r="V17" s="603"/>
      <c r="W17" s="774"/>
      <c r="X17" s="820"/>
      <c r="Y17" s="821"/>
      <c r="Z17" s="821"/>
      <c r="AA17" s="821"/>
      <c r="AB17" s="821"/>
      <c r="AC17" s="821"/>
      <c r="AD17" s="604"/>
      <c r="AG17" s="603"/>
      <c r="AH17" s="774"/>
      <c r="AI17" s="772"/>
      <c r="AJ17" s="772"/>
      <c r="AK17" s="772"/>
      <c r="AL17" s="772"/>
      <c r="AM17" s="772"/>
      <c r="AN17" s="773"/>
      <c r="AO17" s="604"/>
      <c r="AQ17" s="603"/>
      <c r="AR17" s="824"/>
      <c r="AS17" s="772"/>
      <c r="AT17" s="772"/>
      <c r="AU17" s="772"/>
      <c r="AV17" s="772"/>
      <c r="AW17" s="772"/>
      <c r="AX17" s="718"/>
      <c r="AY17" s="604"/>
    </row>
    <row r="18" spans="2:51" ht="12.75" customHeight="1" x14ac:dyDescent="0.2">
      <c r="B18" s="603"/>
      <c r="C18" s="605"/>
      <c r="D18" s="605"/>
      <c r="E18" s="605"/>
      <c r="F18" s="605"/>
      <c r="G18" s="660"/>
      <c r="H18" s="668"/>
      <c r="I18" s="605"/>
      <c r="J18" s="604"/>
      <c r="L18" s="603"/>
      <c r="M18" s="605"/>
      <c r="N18" s="605"/>
      <c r="O18" s="605"/>
      <c r="P18" s="605"/>
      <c r="Q18" s="660"/>
      <c r="R18" s="668"/>
      <c r="S18" s="605"/>
      <c r="T18" s="604"/>
      <c r="V18" s="603"/>
      <c r="W18" s="605"/>
      <c r="X18" s="605"/>
      <c r="Y18" s="605"/>
      <c r="Z18" s="605"/>
      <c r="AA18" s="660"/>
      <c r="AB18" s="605"/>
      <c r="AC18" s="605"/>
      <c r="AD18" s="604"/>
      <c r="AG18" s="603"/>
      <c r="AH18" s="605"/>
      <c r="AI18" s="605"/>
      <c r="AJ18" s="605"/>
      <c r="AK18" s="605"/>
      <c r="AL18" s="660"/>
      <c r="AM18" s="675"/>
      <c r="AN18" s="605"/>
      <c r="AO18" s="604"/>
      <c r="AQ18" s="603"/>
      <c r="AR18" s="605"/>
      <c r="AS18" s="605"/>
      <c r="AT18" s="605"/>
      <c r="AU18" s="719"/>
      <c r="AV18" s="605"/>
      <c r="AW18" s="720"/>
      <c r="AX18" s="605"/>
      <c r="AY18" s="604"/>
    </row>
    <row r="19" spans="2:51" ht="12.75" customHeight="1" x14ac:dyDescent="0.2">
      <c r="B19" s="603"/>
      <c r="C19" s="605"/>
      <c r="D19" s="776" t="s">
        <v>307</v>
      </c>
      <c r="E19" s="777"/>
      <c r="F19" s="777"/>
      <c r="G19" s="777"/>
      <c r="H19" s="782"/>
      <c r="I19" s="605"/>
      <c r="J19" s="604"/>
      <c r="L19" s="603"/>
      <c r="M19" s="605"/>
      <c r="N19" s="776" t="s">
        <v>307</v>
      </c>
      <c r="O19" s="777"/>
      <c r="P19" s="777"/>
      <c r="Q19" s="777"/>
      <c r="R19" s="782"/>
      <c r="S19" s="605"/>
      <c r="T19" s="604"/>
      <c r="V19" s="603"/>
      <c r="W19" s="605"/>
      <c r="X19" s="797" t="s">
        <v>307</v>
      </c>
      <c r="Y19" s="798"/>
      <c r="Z19" s="798"/>
      <c r="AA19" s="798"/>
      <c r="AB19" s="677"/>
      <c r="AC19" s="605"/>
      <c r="AD19" s="604"/>
      <c r="AG19" s="603"/>
      <c r="AH19" s="605"/>
      <c r="AI19" s="797" t="s">
        <v>307</v>
      </c>
      <c r="AJ19" s="798"/>
      <c r="AK19" s="798"/>
      <c r="AL19" s="798"/>
      <c r="AM19" s="677"/>
      <c r="AN19" s="605"/>
      <c r="AO19" s="604"/>
      <c r="AQ19" s="603"/>
      <c r="AR19" s="605"/>
      <c r="AS19" s="797" t="s">
        <v>307</v>
      </c>
      <c r="AT19" s="798"/>
      <c r="AU19" s="798"/>
      <c r="AV19" s="798"/>
      <c r="AW19" s="677"/>
      <c r="AX19" s="605"/>
      <c r="AY19" s="604"/>
    </row>
    <row r="20" spans="2:51" ht="12.75" customHeight="1" x14ac:dyDescent="0.2">
      <c r="B20" s="603"/>
      <c r="C20" s="605"/>
      <c r="D20" s="778"/>
      <c r="E20" s="779"/>
      <c r="F20" s="779"/>
      <c r="G20" s="779"/>
      <c r="H20" s="783"/>
      <c r="I20" s="605"/>
      <c r="J20" s="604"/>
      <c r="L20" s="603"/>
      <c r="M20" s="605"/>
      <c r="N20" s="778"/>
      <c r="O20" s="779"/>
      <c r="P20" s="779"/>
      <c r="Q20" s="779"/>
      <c r="R20" s="783"/>
      <c r="S20" s="605"/>
      <c r="T20" s="604"/>
      <c r="V20" s="603"/>
      <c r="W20" s="605"/>
      <c r="X20" s="799"/>
      <c r="Y20" s="800"/>
      <c r="Z20" s="800"/>
      <c r="AA20" s="800"/>
      <c r="AB20" s="684"/>
      <c r="AC20" s="605"/>
      <c r="AD20" s="604"/>
      <c r="AG20" s="603"/>
      <c r="AH20" s="605"/>
      <c r="AI20" s="799"/>
      <c r="AJ20" s="800"/>
      <c r="AK20" s="800"/>
      <c r="AL20" s="800"/>
      <c r="AM20" s="684"/>
      <c r="AN20" s="605"/>
      <c r="AO20" s="604"/>
      <c r="AQ20" s="603"/>
      <c r="AR20" s="605"/>
      <c r="AS20" s="799"/>
      <c r="AT20" s="800"/>
      <c r="AU20" s="800"/>
      <c r="AV20" s="800"/>
      <c r="AW20" s="684"/>
      <c r="AX20" s="605"/>
      <c r="AY20" s="604"/>
    </row>
    <row r="21" spans="2:51" ht="12.75" customHeight="1" x14ac:dyDescent="0.2">
      <c r="B21" s="603"/>
      <c r="C21" s="605"/>
      <c r="D21" s="780"/>
      <c r="E21" s="781"/>
      <c r="F21" s="781"/>
      <c r="G21" s="781"/>
      <c r="H21" s="784"/>
      <c r="I21" s="605"/>
      <c r="J21" s="604"/>
      <c r="L21" s="603"/>
      <c r="M21" s="605"/>
      <c r="N21" s="780"/>
      <c r="O21" s="781"/>
      <c r="P21" s="781"/>
      <c r="Q21" s="781"/>
      <c r="R21" s="784"/>
      <c r="S21" s="605"/>
      <c r="T21" s="604"/>
      <c r="V21" s="603"/>
      <c r="W21" s="605"/>
      <c r="X21" s="801"/>
      <c r="Y21" s="802"/>
      <c r="Z21" s="802"/>
      <c r="AA21" s="802"/>
      <c r="AB21" s="678"/>
      <c r="AC21" s="605"/>
      <c r="AD21" s="604"/>
      <c r="AG21" s="603"/>
      <c r="AH21" s="605"/>
      <c r="AI21" s="801"/>
      <c r="AJ21" s="802"/>
      <c r="AK21" s="802"/>
      <c r="AL21" s="802"/>
      <c r="AM21" s="678"/>
      <c r="AN21" s="605"/>
      <c r="AO21" s="604"/>
      <c r="AQ21" s="603"/>
      <c r="AR21" s="605"/>
      <c r="AS21" s="801"/>
      <c r="AT21" s="802"/>
      <c r="AU21" s="802"/>
      <c r="AV21" s="802"/>
      <c r="AW21" s="678"/>
      <c r="AX21" s="605"/>
      <c r="AY21" s="604"/>
    </row>
    <row r="22" spans="2:51" ht="12.75" customHeight="1" x14ac:dyDescent="0.2">
      <c r="B22" s="603"/>
      <c r="C22" s="605"/>
      <c r="D22" s="605"/>
      <c r="E22" s="605"/>
      <c r="F22" s="605"/>
      <c r="G22" s="660"/>
      <c r="H22" s="605"/>
      <c r="I22" s="605"/>
      <c r="J22" s="604"/>
      <c r="L22" s="603"/>
      <c r="M22" s="605"/>
      <c r="N22" s="605"/>
      <c r="O22" s="605"/>
      <c r="P22" s="605"/>
      <c r="Q22" s="660"/>
      <c r="R22" s="605"/>
      <c r="S22" s="605"/>
      <c r="T22" s="604"/>
      <c r="V22" s="603"/>
      <c r="W22" s="605"/>
      <c r="X22" s="605"/>
      <c r="Y22" s="605"/>
      <c r="Z22" s="605"/>
      <c r="AA22" s="660"/>
      <c r="AB22" s="605"/>
      <c r="AC22" s="605"/>
      <c r="AD22" s="604"/>
      <c r="AG22" s="603"/>
      <c r="AH22" s="605"/>
      <c r="AI22" s="605"/>
      <c r="AJ22" s="605"/>
      <c r="AK22" s="605"/>
      <c r="AL22" s="660"/>
      <c r="AM22" s="675"/>
      <c r="AN22" s="605"/>
      <c r="AO22" s="604"/>
      <c r="AQ22" s="603"/>
      <c r="AR22" s="605"/>
      <c r="AS22" s="605"/>
      <c r="AT22" s="605"/>
      <c r="AU22" s="719"/>
      <c r="AV22" s="605"/>
      <c r="AW22" s="675"/>
      <c r="AX22" s="605"/>
      <c r="AY22" s="604"/>
    </row>
    <row r="23" spans="2:51" ht="12.75" customHeight="1" x14ac:dyDescent="0.2">
      <c r="B23" s="603"/>
      <c r="C23" s="605"/>
      <c r="D23" s="776" t="s">
        <v>299</v>
      </c>
      <c r="E23" s="777"/>
      <c r="F23" s="777"/>
      <c r="G23" s="777"/>
      <c r="H23" s="694"/>
      <c r="I23" s="605"/>
      <c r="J23" s="604"/>
      <c r="L23" s="603"/>
      <c r="M23" s="605"/>
      <c r="N23" s="776" t="s">
        <v>299</v>
      </c>
      <c r="O23" s="777"/>
      <c r="P23" s="777"/>
      <c r="Q23" s="777"/>
      <c r="R23" s="694"/>
      <c r="S23" s="605"/>
      <c r="T23" s="604"/>
      <c r="V23" s="603"/>
      <c r="W23" s="605"/>
      <c r="X23" s="803" t="s">
        <v>299</v>
      </c>
      <c r="Y23" s="804"/>
      <c r="Z23" s="804"/>
      <c r="AA23" s="804"/>
      <c r="AB23" s="679"/>
      <c r="AC23" s="605"/>
      <c r="AD23" s="604"/>
      <c r="AG23" s="603"/>
      <c r="AH23" s="605"/>
      <c r="AI23" s="797" t="s">
        <v>299</v>
      </c>
      <c r="AJ23" s="798"/>
      <c r="AK23" s="798"/>
      <c r="AL23" s="798"/>
      <c r="AM23" s="677"/>
      <c r="AN23" s="605"/>
      <c r="AO23" s="604"/>
      <c r="AQ23" s="603"/>
      <c r="AR23" s="605"/>
      <c r="AS23" s="797" t="s">
        <v>299</v>
      </c>
      <c r="AT23" s="798"/>
      <c r="AU23" s="798"/>
      <c r="AV23" s="798"/>
      <c r="AW23" s="679"/>
      <c r="AX23" s="605"/>
      <c r="AY23" s="604"/>
    </row>
    <row r="24" spans="2:51" ht="12.75" customHeight="1" x14ac:dyDescent="0.2">
      <c r="B24" s="603"/>
      <c r="C24" s="605"/>
      <c r="D24" s="778"/>
      <c r="E24" s="779"/>
      <c r="F24" s="779"/>
      <c r="G24" s="779"/>
      <c r="H24" s="695"/>
      <c r="I24" s="605"/>
      <c r="J24" s="604"/>
      <c r="L24" s="603"/>
      <c r="M24" s="605"/>
      <c r="N24" s="778"/>
      <c r="O24" s="779"/>
      <c r="P24" s="779"/>
      <c r="Q24" s="779"/>
      <c r="R24" s="695"/>
      <c r="S24" s="605"/>
      <c r="T24" s="604"/>
      <c r="V24" s="603"/>
      <c r="W24" s="605"/>
      <c r="X24" s="805"/>
      <c r="Y24" s="806"/>
      <c r="Z24" s="806"/>
      <c r="AA24" s="806"/>
      <c r="AB24" s="685"/>
      <c r="AC24" s="605"/>
      <c r="AD24" s="604"/>
      <c r="AG24" s="603"/>
      <c r="AH24" s="605"/>
      <c r="AI24" s="799"/>
      <c r="AJ24" s="800"/>
      <c r="AK24" s="800"/>
      <c r="AL24" s="800"/>
      <c r="AM24" s="684"/>
      <c r="AN24" s="605"/>
      <c r="AO24" s="604"/>
      <c r="AQ24" s="603"/>
      <c r="AR24" s="605"/>
      <c r="AS24" s="799"/>
      <c r="AT24" s="800"/>
      <c r="AU24" s="800"/>
      <c r="AV24" s="800"/>
      <c r="AW24" s="685"/>
      <c r="AX24" s="605"/>
      <c r="AY24" s="604"/>
    </row>
    <row r="25" spans="2:51" ht="12.75" customHeight="1" x14ac:dyDescent="0.2">
      <c r="B25" s="603"/>
      <c r="C25" s="605"/>
      <c r="D25" s="780"/>
      <c r="E25" s="781"/>
      <c r="F25" s="781"/>
      <c r="G25" s="781"/>
      <c r="H25" s="696"/>
      <c r="I25" s="605"/>
      <c r="J25" s="604"/>
      <c r="L25" s="603"/>
      <c r="M25" s="605"/>
      <c r="N25" s="780"/>
      <c r="O25" s="781"/>
      <c r="P25" s="781"/>
      <c r="Q25" s="781"/>
      <c r="R25" s="696"/>
      <c r="S25" s="605"/>
      <c r="T25" s="604"/>
      <c r="V25" s="603"/>
      <c r="W25" s="605"/>
      <c r="X25" s="807"/>
      <c r="Y25" s="808"/>
      <c r="Z25" s="808"/>
      <c r="AA25" s="808"/>
      <c r="AB25" s="680"/>
      <c r="AC25" s="605"/>
      <c r="AD25" s="604"/>
      <c r="AG25" s="603"/>
      <c r="AH25" s="605"/>
      <c r="AI25" s="801"/>
      <c r="AJ25" s="802"/>
      <c r="AK25" s="802"/>
      <c r="AL25" s="802"/>
      <c r="AM25" s="678"/>
      <c r="AN25" s="605"/>
      <c r="AO25" s="604"/>
      <c r="AQ25" s="603"/>
      <c r="AR25" s="605"/>
      <c r="AS25" s="801"/>
      <c r="AT25" s="802"/>
      <c r="AU25" s="802"/>
      <c r="AV25" s="802"/>
      <c r="AW25" s="680"/>
      <c r="AX25" s="605"/>
      <c r="AY25" s="604"/>
    </row>
    <row r="26" spans="2:51" ht="12.75" customHeight="1" x14ac:dyDescent="0.2">
      <c r="B26" s="603"/>
      <c r="C26" s="605"/>
      <c r="D26" s="605"/>
      <c r="E26" s="605"/>
      <c r="F26" s="605"/>
      <c r="G26" s="605"/>
      <c r="H26" s="605"/>
      <c r="I26" s="605"/>
      <c r="J26" s="604"/>
      <c r="L26" s="603"/>
      <c r="M26" s="605"/>
      <c r="N26" s="605"/>
      <c r="O26" s="605"/>
      <c r="P26" s="605"/>
      <c r="Q26" s="605"/>
      <c r="R26" s="605"/>
      <c r="S26" s="605"/>
      <c r="T26" s="604"/>
      <c r="V26" s="603"/>
      <c r="W26" s="605"/>
      <c r="X26" s="605"/>
      <c r="Y26" s="605"/>
      <c r="Z26" s="605"/>
      <c r="AA26" s="605"/>
      <c r="AB26" s="605"/>
      <c r="AC26" s="605"/>
      <c r="AD26" s="604"/>
      <c r="AG26" s="603"/>
      <c r="AH26" s="605"/>
      <c r="AI26" s="605"/>
      <c r="AJ26" s="605"/>
      <c r="AK26" s="605"/>
      <c r="AL26" s="605"/>
      <c r="AM26" s="605"/>
      <c r="AN26" s="605"/>
      <c r="AO26" s="604"/>
      <c r="AQ26" s="603"/>
      <c r="AR26" s="605"/>
      <c r="AS26" s="605"/>
      <c r="AT26" s="605"/>
      <c r="AU26" s="605"/>
      <c r="AV26" s="605"/>
      <c r="AW26" s="605"/>
      <c r="AX26" s="605"/>
      <c r="AY26" s="604"/>
    </row>
    <row r="27" spans="2:51" ht="12.75" customHeight="1" x14ac:dyDescent="0.2">
      <c r="B27" s="603"/>
      <c r="C27" s="774" t="s">
        <v>59</v>
      </c>
      <c r="D27" s="777" t="s">
        <v>310</v>
      </c>
      <c r="E27" s="777"/>
      <c r="F27" s="777"/>
      <c r="G27" s="777"/>
      <c r="H27" s="777"/>
      <c r="I27" s="697"/>
      <c r="J27" s="604"/>
      <c r="L27" s="603"/>
      <c r="M27" s="774" t="s">
        <v>59</v>
      </c>
      <c r="N27" s="777" t="s">
        <v>310</v>
      </c>
      <c r="O27" s="777"/>
      <c r="P27" s="777"/>
      <c r="Q27" s="777"/>
      <c r="R27" s="777"/>
      <c r="S27" s="697"/>
      <c r="T27" s="604"/>
      <c r="V27" s="603"/>
      <c r="W27" s="822" t="s">
        <v>59</v>
      </c>
      <c r="X27" s="768" t="s">
        <v>300</v>
      </c>
      <c r="Y27" s="768"/>
      <c r="Z27" s="768"/>
      <c r="AA27" s="768"/>
      <c r="AB27" s="768"/>
      <c r="AC27" s="769"/>
      <c r="AD27" s="604"/>
      <c r="AG27" s="603"/>
      <c r="AH27" s="774" t="s">
        <v>59</v>
      </c>
      <c r="AI27" s="798" t="s">
        <v>308</v>
      </c>
      <c r="AJ27" s="798"/>
      <c r="AK27" s="798"/>
      <c r="AL27" s="798"/>
      <c r="AM27" s="798"/>
      <c r="AN27" s="681"/>
      <c r="AO27" s="604"/>
      <c r="AQ27" s="603"/>
      <c r="AR27" s="822" t="s">
        <v>59</v>
      </c>
      <c r="AS27" s="777" t="s">
        <v>310</v>
      </c>
      <c r="AT27" s="777"/>
      <c r="AU27" s="777"/>
      <c r="AV27" s="777"/>
      <c r="AW27" s="777"/>
      <c r="AX27" s="694"/>
      <c r="AY27" s="604"/>
    </row>
    <row r="28" spans="2:51" ht="12.75" customHeight="1" x14ac:dyDescent="0.2">
      <c r="B28" s="603"/>
      <c r="C28" s="774"/>
      <c r="D28" s="779"/>
      <c r="E28" s="779"/>
      <c r="F28" s="779"/>
      <c r="G28" s="779"/>
      <c r="H28" s="779"/>
      <c r="I28" s="698"/>
      <c r="J28" s="604"/>
      <c r="L28" s="603"/>
      <c r="M28" s="774"/>
      <c r="N28" s="779"/>
      <c r="O28" s="779"/>
      <c r="P28" s="779"/>
      <c r="Q28" s="779"/>
      <c r="R28" s="779"/>
      <c r="S28" s="698"/>
      <c r="T28" s="604"/>
      <c r="V28" s="603"/>
      <c r="W28" s="823"/>
      <c r="X28" s="770"/>
      <c r="Y28" s="770"/>
      <c r="Z28" s="770"/>
      <c r="AA28" s="770"/>
      <c r="AB28" s="770"/>
      <c r="AC28" s="771"/>
      <c r="AD28" s="604"/>
      <c r="AG28" s="603"/>
      <c r="AH28" s="774"/>
      <c r="AI28" s="800"/>
      <c r="AJ28" s="800"/>
      <c r="AK28" s="800"/>
      <c r="AL28" s="800"/>
      <c r="AM28" s="800"/>
      <c r="AN28" s="686"/>
      <c r="AO28" s="604"/>
      <c r="AQ28" s="603"/>
      <c r="AR28" s="823"/>
      <c r="AS28" s="779"/>
      <c r="AT28" s="779"/>
      <c r="AU28" s="779"/>
      <c r="AV28" s="779"/>
      <c r="AW28" s="779"/>
      <c r="AX28" s="695"/>
      <c r="AY28" s="604"/>
    </row>
    <row r="29" spans="2:51" ht="12.75" customHeight="1" x14ac:dyDescent="0.2">
      <c r="B29" s="603"/>
      <c r="C29" s="774"/>
      <c r="D29" s="781"/>
      <c r="E29" s="781"/>
      <c r="F29" s="781"/>
      <c r="G29" s="781"/>
      <c r="H29" s="781"/>
      <c r="I29" s="699"/>
      <c r="J29" s="604"/>
      <c r="L29" s="603"/>
      <c r="M29" s="774"/>
      <c r="N29" s="781"/>
      <c r="O29" s="781"/>
      <c r="P29" s="781"/>
      <c r="Q29" s="781"/>
      <c r="R29" s="781"/>
      <c r="S29" s="699"/>
      <c r="T29" s="604"/>
      <c r="V29" s="603"/>
      <c r="W29" s="824"/>
      <c r="X29" s="772"/>
      <c r="Y29" s="772"/>
      <c r="Z29" s="772"/>
      <c r="AA29" s="772"/>
      <c r="AB29" s="772"/>
      <c r="AC29" s="773"/>
      <c r="AD29" s="604"/>
      <c r="AG29" s="603"/>
      <c r="AH29" s="774"/>
      <c r="AI29" s="802"/>
      <c r="AJ29" s="802"/>
      <c r="AK29" s="802"/>
      <c r="AL29" s="802"/>
      <c r="AM29" s="802"/>
      <c r="AN29" s="682"/>
      <c r="AO29" s="604"/>
      <c r="AQ29" s="603"/>
      <c r="AR29" s="824"/>
      <c r="AS29" s="781"/>
      <c r="AT29" s="781"/>
      <c r="AU29" s="781"/>
      <c r="AV29" s="781"/>
      <c r="AW29" s="781"/>
      <c r="AX29" s="696"/>
      <c r="AY29" s="604"/>
    </row>
    <row r="30" spans="2:51" ht="12.75" customHeight="1" x14ac:dyDescent="0.2">
      <c r="B30" s="603"/>
      <c r="C30" s="605"/>
      <c r="D30" s="605"/>
      <c r="E30" s="605"/>
      <c r="F30" s="605"/>
      <c r="G30" s="605"/>
      <c r="H30" s="605"/>
      <c r="I30" s="605"/>
      <c r="J30" s="604"/>
      <c r="L30" s="603"/>
      <c r="M30" s="605"/>
      <c r="N30" s="605"/>
      <c r="O30" s="605"/>
      <c r="P30" s="605"/>
      <c r="Q30" s="605"/>
      <c r="R30" s="605"/>
      <c r="S30" s="605"/>
      <c r="T30" s="604"/>
      <c r="V30" s="603"/>
      <c r="W30" s="605"/>
      <c r="X30" s="605"/>
      <c r="Y30" s="605"/>
      <c r="Z30" s="605"/>
      <c r="AA30" s="660"/>
      <c r="AB30" s="605"/>
      <c r="AC30" s="605"/>
      <c r="AD30" s="604"/>
      <c r="AG30" s="603"/>
      <c r="AH30" s="605"/>
      <c r="AI30" s="605"/>
      <c r="AJ30" s="605"/>
      <c r="AK30" s="605"/>
      <c r="AL30" s="605"/>
      <c r="AM30" s="605"/>
      <c r="AN30" s="605"/>
      <c r="AO30" s="604"/>
      <c r="AQ30" s="603"/>
      <c r="AR30" s="605"/>
      <c r="AS30" s="605"/>
      <c r="AT30" s="605"/>
      <c r="AU30" s="605"/>
      <c r="AV30" s="605"/>
      <c r="AW30" s="605"/>
      <c r="AX30" s="605"/>
      <c r="AY30" s="604"/>
    </row>
    <row r="31" spans="2:51" ht="12.75" customHeight="1" x14ac:dyDescent="0.2">
      <c r="B31" s="603"/>
      <c r="C31" s="605"/>
      <c r="D31" s="605"/>
      <c r="E31" s="605"/>
      <c r="F31" s="605"/>
      <c r="G31" s="605"/>
      <c r="H31" s="605"/>
      <c r="I31" s="605"/>
      <c r="J31" s="604"/>
      <c r="L31" s="603"/>
      <c r="M31" s="605"/>
      <c r="N31" s="605"/>
      <c r="O31" s="605"/>
      <c r="P31" s="605"/>
      <c r="Q31" s="605"/>
      <c r="R31" s="605"/>
      <c r="S31" s="605"/>
      <c r="T31" s="604"/>
      <c r="V31" s="603"/>
      <c r="W31" s="605"/>
      <c r="X31" s="797" t="s">
        <v>317</v>
      </c>
      <c r="Y31" s="798"/>
      <c r="Z31" s="798"/>
      <c r="AA31" s="798"/>
      <c r="AB31" s="809"/>
      <c r="AC31" s="605"/>
      <c r="AD31" s="604"/>
      <c r="AG31" s="603"/>
      <c r="AH31" s="774" t="s">
        <v>59</v>
      </c>
      <c r="AI31" s="798" t="s">
        <v>310</v>
      </c>
      <c r="AJ31" s="798"/>
      <c r="AK31" s="798"/>
      <c r="AL31" s="798"/>
      <c r="AM31" s="798"/>
      <c r="AN31" s="677"/>
      <c r="AO31" s="604"/>
      <c r="AQ31" s="603"/>
      <c r="AR31" s="605"/>
      <c r="AS31" s="605"/>
      <c r="AT31" s="605"/>
      <c r="AU31" s="605"/>
      <c r="AV31" s="605"/>
      <c r="AW31" s="605"/>
      <c r="AX31" s="605"/>
      <c r="AY31" s="604"/>
    </row>
    <row r="32" spans="2:51" ht="12.75" customHeight="1" x14ac:dyDescent="0.2">
      <c r="B32" s="603"/>
      <c r="C32" s="605"/>
      <c r="D32" s="605"/>
      <c r="E32" s="605"/>
      <c r="F32" s="605"/>
      <c r="G32" s="605"/>
      <c r="H32" s="605"/>
      <c r="I32" s="605"/>
      <c r="J32" s="604"/>
      <c r="L32" s="603"/>
      <c r="M32" s="605"/>
      <c r="N32" s="605"/>
      <c r="O32" s="605"/>
      <c r="P32" s="605"/>
      <c r="Q32" s="605"/>
      <c r="R32" s="605"/>
      <c r="S32" s="605"/>
      <c r="T32" s="604"/>
      <c r="V32" s="603"/>
      <c r="W32" s="605"/>
      <c r="X32" s="799"/>
      <c r="Y32" s="800"/>
      <c r="Z32" s="800"/>
      <c r="AA32" s="800"/>
      <c r="AB32" s="810"/>
      <c r="AC32" s="605"/>
      <c r="AD32" s="604"/>
      <c r="AG32" s="603"/>
      <c r="AH32" s="774"/>
      <c r="AI32" s="800"/>
      <c r="AJ32" s="800"/>
      <c r="AK32" s="800"/>
      <c r="AL32" s="800"/>
      <c r="AM32" s="800"/>
      <c r="AN32" s="684"/>
      <c r="AO32" s="604"/>
      <c r="AQ32" s="603"/>
      <c r="AR32" s="605"/>
      <c r="AS32" s="605"/>
      <c r="AT32" s="605"/>
      <c r="AU32" s="605"/>
      <c r="AV32" s="605"/>
      <c r="AW32" s="605"/>
      <c r="AX32" s="605"/>
      <c r="AY32" s="604"/>
    </row>
    <row r="33" spans="2:51" ht="12.75" customHeight="1" x14ac:dyDescent="0.2">
      <c r="B33" s="603"/>
      <c r="C33" s="605"/>
      <c r="D33" s="605"/>
      <c r="E33" s="605"/>
      <c r="F33" s="605"/>
      <c r="G33" s="605"/>
      <c r="H33" s="605"/>
      <c r="I33" s="605"/>
      <c r="J33" s="604"/>
      <c r="L33" s="603"/>
      <c r="M33" s="605"/>
      <c r="N33" s="605"/>
      <c r="O33" s="605"/>
      <c r="P33" s="605"/>
      <c r="Q33" s="605"/>
      <c r="R33" s="605"/>
      <c r="S33" s="605"/>
      <c r="T33" s="604"/>
      <c r="V33" s="603"/>
      <c r="W33" s="605"/>
      <c r="X33" s="801"/>
      <c r="Y33" s="802"/>
      <c r="Z33" s="802"/>
      <c r="AA33" s="802"/>
      <c r="AB33" s="811"/>
      <c r="AC33" s="605"/>
      <c r="AD33" s="604"/>
      <c r="AG33" s="603"/>
      <c r="AH33" s="774"/>
      <c r="AI33" s="802"/>
      <c r="AJ33" s="802"/>
      <c r="AK33" s="802"/>
      <c r="AL33" s="802"/>
      <c r="AM33" s="802"/>
      <c r="AN33" s="678"/>
      <c r="AO33" s="604"/>
      <c r="AQ33" s="603"/>
      <c r="AR33" s="605"/>
      <c r="AS33" s="605"/>
      <c r="AT33" s="605"/>
      <c r="AU33" s="605"/>
      <c r="AV33" s="605"/>
      <c r="AW33" s="605"/>
      <c r="AX33" s="605"/>
      <c r="AY33" s="604"/>
    </row>
    <row r="34" spans="2:51" ht="12.75" customHeight="1" x14ac:dyDescent="0.2">
      <c r="B34" s="603"/>
      <c r="C34" s="605"/>
      <c r="D34" s="605"/>
      <c r="E34" s="605"/>
      <c r="F34" s="605"/>
      <c r="G34" s="605"/>
      <c r="H34" s="605"/>
      <c r="I34" s="605"/>
      <c r="J34" s="604"/>
      <c r="L34" s="603"/>
      <c r="M34" s="605"/>
      <c r="N34" s="605"/>
      <c r="O34" s="605"/>
      <c r="P34" s="605"/>
      <c r="Q34" s="605"/>
      <c r="R34" s="605"/>
      <c r="S34" s="605"/>
      <c r="T34" s="604"/>
      <c r="V34" s="603"/>
      <c r="W34" s="605"/>
      <c r="X34" s="605"/>
      <c r="Y34" s="605"/>
      <c r="Z34" s="605"/>
      <c r="AA34" s="660"/>
      <c r="AB34" s="605"/>
      <c r="AC34" s="605"/>
      <c r="AD34" s="604"/>
      <c r="AG34" s="603"/>
      <c r="AH34" s="605"/>
      <c r="AI34" s="605"/>
      <c r="AJ34" s="605"/>
      <c r="AK34" s="605"/>
      <c r="AL34" s="605"/>
      <c r="AM34" s="605"/>
      <c r="AN34" s="605"/>
      <c r="AO34" s="604"/>
      <c r="AQ34" s="603"/>
      <c r="AR34" s="605"/>
      <c r="AS34" s="605"/>
      <c r="AT34" s="605"/>
      <c r="AU34" s="605"/>
      <c r="AV34" s="605"/>
      <c r="AW34" s="605"/>
      <c r="AX34" s="605"/>
      <c r="AY34" s="604"/>
    </row>
    <row r="35" spans="2:51" ht="12.75" customHeight="1" x14ac:dyDescent="0.2">
      <c r="B35" s="603"/>
      <c r="C35" s="605"/>
      <c r="D35" s="605"/>
      <c r="E35" s="605"/>
      <c r="F35" s="605"/>
      <c r="G35" s="605"/>
      <c r="H35" s="605"/>
      <c r="I35" s="605"/>
      <c r="J35" s="604"/>
      <c r="L35" s="603"/>
      <c r="M35" s="605"/>
      <c r="N35" s="605"/>
      <c r="O35" s="605"/>
      <c r="P35" s="605"/>
      <c r="Q35" s="605"/>
      <c r="R35" s="605"/>
      <c r="S35" s="605"/>
      <c r="T35" s="604"/>
      <c r="V35" s="603"/>
      <c r="W35" s="605"/>
      <c r="X35" s="797" t="s">
        <v>318</v>
      </c>
      <c r="Y35" s="798"/>
      <c r="Z35" s="798"/>
      <c r="AA35" s="798"/>
      <c r="AB35" s="809"/>
      <c r="AC35" s="605"/>
      <c r="AD35" s="604"/>
      <c r="AG35" s="603"/>
      <c r="AH35" s="605"/>
      <c r="AI35" s="605"/>
      <c r="AJ35" s="605"/>
      <c r="AK35" s="605"/>
      <c r="AL35" s="605"/>
      <c r="AM35" s="605"/>
      <c r="AN35" s="605"/>
      <c r="AO35" s="604"/>
      <c r="AQ35" s="603"/>
      <c r="AR35" s="605"/>
      <c r="AS35" s="605"/>
      <c r="AT35" s="605"/>
      <c r="AU35" s="605"/>
      <c r="AV35" s="605"/>
      <c r="AW35" s="605"/>
      <c r="AX35" s="605"/>
      <c r="AY35" s="604"/>
    </row>
    <row r="36" spans="2:51" ht="12.75" customHeight="1" x14ac:dyDescent="0.2">
      <c r="B36" s="603"/>
      <c r="C36" s="605"/>
      <c r="D36" s="605"/>
      <c r="E36" s="605"/>
      <c r="F36" s="605"/>
      <c r="G36" s="605"/>
      <c r="H36" s="605"/>
      <c r="I36" s="605"/>
      <c r="J36" s="604"/>
      <c r="L36" s="603"/>
      <c r="M36" s="605"/>
      <c r="N36" s="605"/>
      <c r="O36" s="605"/>
      <c r="P36" s="605"/>
      <c r="Q36" s="605"/>
      <c r="R36" s="605"/>
      <c r="S36" s="605"/>
      <c r="T36" s="604"/>
      <c r="V36" s="603"/>
      <c r="W36" s="605"/>
      <c r="X36" s="799"/>
      <c r="Y36" s="800"/>
      <c r="Z36" s="800"/>
      <c r="AA36" s="800"/>
      <c r="AB36" s="810"/>
      <c r="AC36" s="605"/>
      <c r="AD36" s="604"/>
      <c r="AG36" s="603"/>
      <c r="AH36" s="605"/>
      <c r="AI36" s="605"/>
      <c r="AJ36" s="605"/>
      <c r="AK36" s="605"/>
      <c r="AL36" s="605"/>
      <c r="AM36" s="605"/>
      <c r="AN36" s="605"/>
      <c r="AO36" s="604"/>
      <c r="AQ36" s="603"/>
      <c r="AR36" s="605"/>
      <c r="AS36" s="605"/>
      <c r="AT36" s="605"/>
      <c r="AU36" s="605"/>
      <c r="AV36" s="605"/>
      <c r="AW36" s="605"/>
      <c r="AX36" s="605"/>
      <c r="AY36" s="604"/>
    </row>
    <row r="37" spans="2:51" ht="12.75" customHeight="1" x14ac:dyDescent="0.2">
      <c r="B37" s="603"/>
      <c r="C37" s="605"/>
      <c r="D37" s="605"/>
      <c r="E37" s="605"/>
      <c r="F37" s="605"/>
      <c r="G37" s="605"/>
      <c r="H37" s="605"/>
      <c r="I37" s="605"/>
      <c r="J37" s="604"/>
      <c r="L37" s="603"/>
      <c r="M37" s="605"/>
      <c r="N37" s="605"/>
      <c r="O37" s="605"/>
      <c r="P37" s="605"/>
      <c r="Q37" s="605"/>
      <c r="R37" s="605"/>
      <c r="S37" s="605"/>
      <c r="T37" s="604"/>
      <c r="V37" s="603"/>
      <c r="W37" s="605"/>
      <c r="X37" s="801"/>
      <c r="Y37" s="802"/>
      <c r="Z37" s="802"/>
      <c r="AA37" s="802"/>
      <c r="AB37" s="811"/>
      <c r="AC37" s="605"/>
      <c r="AD37" s="604"/>
      <c r="AG37" s="603"/>
      <c r="AH37" s="605"/>
      <c r="AI37" s="605"/>
      <c r="AJ37" s="605"/>
      <c r="AK37" s="605"/>
      <c r="AL37" s="605"/>
      <c r="AM37" s="605"/>
      <c r="AN37" s="605"/>
      <c r="AO37" s="604"/>
      <c r="AQ37" s="603"/>
      <c r="AR37" s="605"/>
      <c r="AS37" s="605"/>
      <c r="AT37" s="605"/>
      <c r="AU37" s="605"/>
      <c r="AV37" s="605"/>
      <c r="AW37" s="605"/>
      <c r="AX37" s="605"/>
      <c r="AY37" s="604"/>
    </row>
    <row r="38" spans="2:51" ht="12.75" customHeight="1" thickBot="1" x14ac:dyDescent="0.25">
      <c r="B38" s="606"/>
      <c r="C38" s="607"/>
      <c r="D38" s="607"/>
      <c r="E38" s="607"/>
      <c r="F38" s="607"/>
      <c r="G38" s="607"/>
      <c r="H38" s="607"/>
      <c r="I38" s="607"/>
      <c r="J38" s="608"/>
      <c r="L38" s="606"/>
      <c r="M38" s="607"/>
      <c r="N38" s="607"/>
      <c r="O38" s="607"/>
      <c r="P38" s="607"/>
      <c r="Q38" s="607"/>
      <c r="R38" s="607"/>
      <c r="S38" s="607"/>
      <c r="T38" s="608"/>
      <c r="V38" s="606"/>
      <c r="W38" s="607"/>
      <c r="X38" s="607"/>
      <c r="Y38" s="607"/>
      <c r="Z38" s="607"/>
      <c r="AA38" s="607"/>
      <c r="AB38" s="607"/>
      <c r="AC38" s="607"/>
      <c r="AD38" s="608"/>
      <c r="AE38" s="599"/>
      <c r="AG38" s="606"/>
      <c r="AH38" s="607"/>
      <c r="AI38" s="607"/>
      <c r="AJ38" s="607"/>
      <c r="AK38" s="607"/>
      <c r="AL38" s="607"/>
      <c r="AM38" s="607"/>
      <c r="AN38" s="607"/>
      <c r="AO38" s="608"/>
      <c r="AQ38" s="606"/>
      <c r="AR38" s="607"/>
      <c r="AS38" s="607"/>
      <c r="AT38" s="607"/>
      <c r="AU38" s="607"/>
      <c r="AV38" s="607"/>
      <c r="AW38" s="607"/>
      <c r="AX38" s="607"/>
      <c r="AY38" s="608"/>
    </row>
    <row r="39" spans="2:51" ht="12.75" customHeight="1" x14ac:dyDescent="0.2">
      <c r="G39" s="609"/>
      <c r="H39" s="610"/>
      <c r="I39" s="610"/>
      <c r="J39" s="610"/>
      <c r="K39" s="610"/>
      <c r="L39" s="610"/>
      <c r="M39" s="610"/>
      <c r="N39" s="610"/>
      <c r="O39" s="610"/>
      <c r="P39" s="610"/>
      <c r="Q39" s="609"/>
      <c r="R39" s="610"/>
      <c r="S39" s="610"/>
      <c r="T39" s="610"/>
      <c r="U39" s="610"/>
      <c r="V39" s="610"/>
      <c r="W39" s="610"/>
      <c r="X39" s="610"/>
      <c r="Y39" s="610"/>
      <c r="Z39" s="610"/>
      <c r="AA39" s="609"/>
      <c r="AB39" s="610"/>
      <c r="AC39" s="610"/>
      <c r="AD39" s="610"/>
      <c r="AE39" s="610"/>
      <c r="AF39" s="610"/>
      <c r="AG39" s="610"/>
      <c r="AH39" s="610"/>
      <c r="AI39" s="610"/>
      <c r="AJ39" s="610"/>
      <c r="AK39" s="610"/>
      <c r="AL39" s="609"/>
      <c r="AM39" s="610"/>
      <c r="AN39" s="610"/>
      <c r="AO39" s="610"/>
      <c r="AP39" s="610"/>
      <c r="AQ39" s="610"/>
      <c r="AR39" s="610"/>
      <c r="AS39" s="610"/>
      <c r="AT39" s="610"/>
      <c r="AU39" s="722"/>
      <c r="AV39" s="723"/>
      <c r="AW39" s="599"/>
    </row>
    <row r="40" spans="2:51" ht="12.75" customHeight="1" thickBot="1" x14ac:dyDescent="0.25">
      <c r="J40" s="599"/>
      <c r="K40" s="599"/>
      <c r="L40" s="599"/>
      <c r="M40" s="599"/>
      <c r="N40" s="599"/>
      <c r="O40" s="599"/>
      <c r="P40" s="599"/>
      <c r="Q40" s="599"/>
      <c r="R40" s="599"/>
      <c r="S40" s="599"/>
      <c r="T40" s="599"/>
      <c r="U40" s="599"/>
      <c r="V40" s="599"/>
      <c r="W40" s="599"/>
      <c r="X40" s="599"/>
      <c r="Y40" s="599"/>
      <c r="Z40" s="599"/>
      <c r="AA40" s="676"/>
      <c r="AK40" s="599"/>
      <c r="AL40" s="599"/>
      <c r="AM40" s="599"/>
      <c r="AN40" s="599"/>
      <c r="AO40" s="599"/>
      <c r="AP40" s="599"/>
      <c r="AQ40" s="599"/>
      <c r="AR40" s="599"/>
      <c r="AS40" s="599"/>
      <c r="AT40" s="599"/>
      <c r="AU40" s="599"/>
      <c r="AV40" s="599"/>
      <c r="AW40" s="599"/>
    </row>
    <row r="41" spans="2:51" ht="12.75" customHeight="1" x14ac:dyDescent="0.2">
      <c r="V41" s="56"/>
      <c r="W41" s="791" t="s">
        <v>59</v>
      </c>
      <c r="X41" s="794" t="s">
        <v>311</v>
      </c>
      <c r="Y41" s="794"/>
      <c r="Z41" s="794"/>
      <c r="AA41" s="794"/>
      <c r="AB41" s="794"/>
      <c r="AC41" s="688"/>
      <c r="AD41" s="691"/>
    </row>
    <row r="42" spans="2:51" ht="12.75" customHeight="1" x14ac:dyDescent="0.2">
      <c r="W42" s="792"/>
      <c r="X42" s="795"/>
      <c r="Y42" s="795"/>
      <c r="Z42" s="795"/>
      <c r="AA42" s="795"/>
      <c r="AB42" s="795"/>
      <c r="AC42" s="689"/>
      <c r="AD42" s="691"/>
    </row>
    <row r="43" spans="2:51" ht="12.75" customHeight="1" thickBot="1" x14ac:dyDescent="0.25">
      <c r="W43" s="793"/>
      <c r="X43" s="796"/>
      <c r="Y43" s="796"/>
      <c r="Z43" s="796"/>
      <c r="AA43" s="796"/>
      <c r="AB43" s="796"/>
      <c r="AC43" s="690"/>
      <c r="AD43" s="691"/>
    </row>
    <row r="44" spans="2:51" ht="12.75" customHeight="1" x14ac:dyDescent="0.2">
      <c r="U44" s="610"/>
      <c r="V44" s="610"/>
      <c r="W44" s="610"/>
      <c r="X44" s="610"/>
      <c r="Y44" s="610"/>
      <c r="Z44" s="611"/>
    </row>
    <row r="45" spans="2:51" ht="12.75" customHeight="1" thickBot="1" x14ac:dyDescent="0.25">
      <c r="U45" s="595"/>
      <c r="AA45" s="596"/>
      <c r="AB45" s="596"/>
      <c r="AC45" s="596"/>
      <c r="AD45" s="596"/>
      <c r="AE45" s="596"/>
      <c r="AF45" s="612"/>
    </row>
    <row r="46" spans="2:51" ht="12.75" customHeight="1" thickTop="1" x14ac:dyDescent="0.2">
      <c r="R46" s="812" t="s">
        <v>315</v>
      </c>
      <c r="S46" s="813"/>
      <c r="T46" s="813"/>
      <c r="U46" s="813"/>
      <c r="V46" s="669"/>
      <c r="W46" s="670"/>
      <c r="AC46" s="812" t="s">
        <v>306</v>
      </c>
      <c r="AD46" s="813"/>
      <c r="AE46" s="813"/>
      <c r="AF46" s="813"/>
      <c r="AG46" s="813"/>
      <c r="AH46" s="700"/>
      <c r="AI46" s="701"/>
    </row>
    <row r="47" spans="2:51" ht="12.75" customHeight="1" x14ac:dyDescent="0.2">
      <c r="R47" s="814"/>
      <c r="S47" s="779"/>
      <c r="T47" s="779"/>
      <c r="U47" s="779"/>
      <c r="V47" s="671"/>
      <c r="W47" s="672"/>
      <c r="AC47" s="814"/>
      <c r="AD47" s="779"/>
      <c r="AE47" s="779"/>
      <c r="AF47" s="779"/>
      <c r="AG47" s="779"/>
      <c r="AH47" s="702"/>
      <c r="AI47" s="703"/>
    </row>
    <row r="48" spans="2:51" ht="13.5" thickBot="1" x14ac:dyDescent="0.25">
      <c r="R48" s="815"/>
      <c r="S48" s="816"/>
      <c r="T48" s="816"/>
      <c r="U48" s="816"/>
      <c r="V48" s="673"/>
      <c r="W48" s="674"/>
      <c r="AC48" s="815"/>
      <c r="AD48" s="816"/>
      <c r="AE48" s="816"/>
      <c r="AF48" s="816"/>
      <c r="AG48" s="816"/>
      <c r="AH48" s="704"/>
      <c r="AI48" s="705"/>
    </row>
    <row r="49" ht="13.5" thickTop="1" x14ac:dyDescent="0.2"/>
    <row r="50" hidden="1" x14ac:dyDescent="0.2"/>
    <row r="51" hidden="1" x14ac:dyDescent="0.2"/>
  </sheetData>
  <sheetProtection password="83CC" sheet="1" objects="1" scenarios="1" formatColumns="0" formatRows="0" insertRows="0"/>
  <mergeCells count="65">
    <mergeCell ref="AS27:AW29"/>
    <mergeCell ref="AH8:AO9"/>
    <mergeCell ref="AQ8:AQ9"/>
    <mergeCell ref="X11:AC13"/>
    <mergeCell ref="AG8:AG9"/>
    <mergeCell ref="AH11:AH13"/>
    <mergeCell ref="AR11:AR13"/>
    <mergeCell ref="AR8:AY9"/>
    <mergeCell ref="AR27:AR29"/>
    <mergeCell ref="AS23:AV25"/>
    <mergeCell ref="AR15:AR17"/>
    <mergeCell ref="AS15:AW17"/>
    <mergeCell ref="AS19:AV21"/>
    <mergeCell ref="AS11:AW13"/>
    <mergeCell ref="C27:C29"/>
    <mergeCell ref="AI11:AN13"/>
    <mergeCell ref="M15:M17"/>
    <mergeCell ref="R19:R21"/>
    <mergeCell ref="W11:W13"/>
    <mergeCell ref="W15:W17"/>
    <mergeCell ref="X15:AC17"/>
    <mergeCell ref="W27:W29"/>
    <mergeCell ref="D27:H29"/>
    <mergeCell ref="M27:M29"/>
    <mergeCell ref="N27:R29"/>
    <mergeCell ref="AI19:AL21"/>
    <mergeCell ref="AI23:AL25"/>
    <mergeCell ref="AI27:AM29"/>
    <mergeCell ref="AH27:AH29"/>
    <mergeCell ref="AH31:AH33"/>
    <mergeCell ref="AI31:AM33"/>
    <mergeCell ref="D15:I17"/>
    <mergeCell ref="R46:U48"/>
    <mergeCell ref="AC46:AG48"/>
    <mergeCell ref="V8:V9"/>
    <mergeCell ref="W41:W43"/>
    <mergeCell ref="X41:AB43"/>
    <mergeCell ref="X27:AC29"/>
    <mergeCell ref="X31:AA33"/>
    <mergeCell ref="X19:AA21"/>
    <mergeCell ref="X23:AA25"/>
    <mergeCell ref="X35:AA37"/>
    <mergeCell ref="AB31:AB33"/>
    <mergeCell ref="AB35:AB37"/>
    <mergeCell ref="B1:U5"/>
    <mergeCell ref="N23:Q25"/>
    <mergeCell ref="D11:H13"/>
    <mergeCell ref="D19:G21"/>
    <mergeCell ref="H19:H21"/>
    <mergeCell ref="L8:L9"/>
    <mergeCell ref="M8:T9"/>
    <mergeCell ref="M11:M13"/>
    <mergeCell ref="N11:R13"/>
    <mergeCell ref="B8:B9"/>
    <mergeCell ref="C8:J9"/>
    <mergeCell ref="D23:G25"/>
    <mergeCell ref="N15:S17"/>
    <mergeCell ref="N19:Q21"/>
    <mergeCell ref="C11:C13"/>
    <mergeCell ref="C15:C17"/>
    <mergeCell ref="W3:W5"/>
    <mergeCell ref="X3:AB5"/>
    <mergeCell ref="W8:AD9"/>
    <mergeCell ref="AI15:AN17"/>
    <mergeCell ref="AH15:AH17"/>
  </mergeCells>
  <conditionalFormatting sqref="D11:I13">
    <cfRule type="expression" dxfId="387" priority="199">
      <formula>AND(selezione_nuova_costruzione="x",selezione_oneri_nuova_costruzione="x")</formula>
    </cfRule>
  </conditionalFormatting>
  <conditionalFormatting sqref="C11:C12 C27:C28">
    <cfRule type="expression" dxfId="386" priority="208">
      <formula>selezione_nuova_costruzione="x"</formula>
    </cfRule>
  </conditionalFormatting>
  <conditionalFormatting sqref="C15:C17">
    <cfRule type="expression" dxfId="385" priority="198">
      <formula>selezione_nuova_costruzione="x"</formula>
    </cfRule>
  </conditionalFormatting>
  <conditionalFormatting sqref="AH11:AH13 AH15:AH17">
    <cfRule type="expression" dxfId="384" priority="196">
      <formula>selezione_sottotetti="x"</formula>
    </cfRule>
  </conditionalFormatting>
  <conditionalFormatting sqref="AR11:AR13">
    <cfRule type="expression" dxfId="383" priority="90">
      <formula>selezione_cambio_uso="x"</formula>
    </cfRule>
  </conditionalFormatting>
  <conditionalFormatting sqref="AB19:AB21 X19:X20 AB23:AB25 X23:X24">
    <cfRule type="expression" dxfId="382" priority="165">
      <formula>AND(selezione_ristrutturazione="x",selezione_costo_costr_standard_ristrutturazione="x")</formula>
    </cfRule>
  </conditionalFormatting>
  <conditionalFormatting sqref="AM23:AM25 AI23:AI24">
    <cfRule type="expression" dxfId="381" priority="161">
      <formula>AND(selezione_sottotetti="x",selezione_costo_costr_standard_sottotetti="x")</formula>
    </cfRule>
  </conditionalFormatting>
  <conditionalFormatting sqref="D19:H21">
    <cfRule type="expression" dxfId="380" priority="157" stopIfTrue="1">
      <formula>AND(selezione_nuova_costruzione="x",DetClasse_SupUtile&lt;&gt;0)</formula>
    </cfRule>
    <cfRule type="expression" dxfId="379" priority="188">
      <formula>AND(selezione_nuova_costruzione="x",selezione_costo_costr_standard_nuova_costruzione="x")</formula>
    </cfRule>
  </conditionalFormatting>
  <conditionalFormatting sqref="D23:H25">
    <cfRule type="expression" dxfId="378" priority="156" stopIfTrue="1">
      <formula>AND(selezione_nuova_costruzione="x",CostoCost_Nuov_Ampl_EscCorrisposto&gt;0)</formula>
    </cfRule>
    <cfRule type="expression" dxfId="377" priority="177">
      <formula>AND(selezione_nuova_costruzione="x",selezione_costo_costr_standard_nuova_costruzione="x")</formula>
    </cfRule>
  </conditionalFormatting>
  <conditionalFormatting sqref="C15:D15 C16:C17">
    <cfRule type="expression" dxfId="376" priority="155" stopIfTrue="1">
      <formula>AND(selezione_nuova_costruzione="x",DetClasse_SupUtile&lt;&gt;0,CostoCost_NuovaEdif_Dovuto&lt;&gt;0)</formula>
    </cfRule>
  </conditionalFormatting>
  <conditionalFormatting sqref="B8:B9">
    <cfRule type="expression" dxfId="375" priority="154">
      <formula>AND(selezione_passo_descrizione_intervento="x",selezione_nuova_costruzione="o")</formula>
    </cfRule>
  </conditionalFormatting>
  <conditionalFormatting sqref="V8:V9">
    <cfRule type="expression" dxfId="374" priority="153">
      <formula>AND(selezione_passo_descrizione_intervento="x",selezione_ristrutturazione="o")</formula>
    </cfRule>
  </conditionalFormatting>
  <conditionalFormatting sqref="AG8:AG9">
    <cfRule type="expression" dxfId="373" priority="152">
      <formula>AND(selezione_passo_descrizione_intervento="x",selezione_sottotetti="o")</formula>
    </cfRule>
  </conditionalFormatting>
  <conditionalFormatting sqref="AQ8:AQ9">
    <cfRule type="expression" dxfId="372" priority="151">
      <formula>AND(selezione_passo_descrizione_intervento="x",selezione_cambio_uso="o")</formula>
    </cfRule>
  </conditionalFormatting>
  <conditionalFormatting sqref="D27:I29">
    <cfRule type="expression" dxfId="371" priority="201">
      <formula>AND(selezione_nuova_costruzione="x",selezione_monetizzazione_nuova_costr="x")</formula>
    </cfRule>
  </conditionalFormatting>
  <conditionalFormatting sqref="W41:AC43">
    <cfRule type="expression" dxfId="370" priority="16">
      <formula>selezione_calcolo_completo="x"</formula>
    </cfRule>
  </conditionalFormatting>
  <conditionalFormatting sqref="X11:AC13">
    <cfRule type="expression" dxfId="369" priority="144">
      <formula>AND(selezione_ristrutturazione="x",selezione_oneri_ristrutturazione="x")</formula>
    </cfRule>
  </conditionalFormatting>
  <conditionalFormatting sqref="X31:X32 AB31:AB32">
    <cfRule type="expression" dxfId="368" priority="139">
      <formula>AND(selezione_ristrutturazione="x",selezione_costo_costr_comp_ristrutturazione="x")</formula>
    </cfRule>
  </conditionalFormatting>
  <conditionalFormatting sqref="X35:X36 AB35:AB36">
    <cfRule type="expression" dxfId="367" priority="138">
      <formula>AND(selezione_ristrutturazione="x",selezione_costo_costr_comp_ristrutturazione="x")</formula>
    </cfRule>
  </conditionalFormatting>
  <conditionalFormatting sqref="AB19:AB21 X19:X20">
    <cfRule type="expression" dxfId="366" priority="136" stopIfTrue="1">
      <formula>AND(selezione_ristrutturazione="x",DetClasse_SupUtile&lt;&gt;0)</formula>
    </cfRule>
  </conditionalFormatting>
  <conditionalFormatting sqref="AB23:AB25 X23:X24">
    <cfRule type="expression" dxfId="365" priority="135" stopIfTrue="1">
      <formula>AND(selezione_ristrutturazione="x",CostoCost_Ristr_EscCorrisposto&gt;0)</formula>
    </cfRule>
  </conditionalFormatting>
  <conditionalFormatting sqref="W27:AC29">
    <cfRule type="expression" dxfId="364" priority="3" stopIfTrue="1">
      <formula>AND(selezione_ristrutturazione="x",CostoCostStatoFatto_ContributoDovuto&lt;&gt;0,CostoCostProg_ContributoDovuto&lt;&gt;0)</formula>
    </cfRule>
  </conditionalFormatting>
  <conditionalFormatting sqref="AB31:AB33 X31:X32">
    <cfRule type="expression" dxfId="363" priority="133" stopIfTrue="1">
      <formula>AND(selezione_ristrutturazione="x",CostoCostStatoFatto_ContributoDovuto&lt;&gt;0)</formula>
    </cfRule>
  </conditionalFormatting>
  <conditionalFormatting sqref="AB35:AB37 X35:X36">
    <cfRule type="expression" dxfId="362" priority="132" stopIfTrue="1">
      <formula>AND(selezione_ristrutturazione="x",CostoCostProg_ContributoDovuto&gt;0)</formula>
    </cfRule>
  </conditionalFormatting>
  <conditionalFormatting sqref="W11:AC13">
    <cfRule type="expression" dxfId="361" priority="2" stopIfTrue="1">
      <formula>AND(selezione_ristrutturazione="x",Ou_Rist_Personalizzazione3_CompMet&gt;0)</formula>
    </cfRule>
    <cfRule type="expression" dxfId="360" priority="91" stopIfTrue="1">
      <formula>AND(selezione_ristrutturazione="x",Ou_Rist_Personalizzazione2_CompMet&gt;0)</formula>
    </cfRule>
    <cfRule type="expression" dxfId="359" priority="92" stopIfTrue="1">
      <formula>AND(selezione_ristrutturazione="x",Ou_Rist_Personalizzazione1_CompMet&gt;0)</formula>
    </cfRule>
    <cfRule type="expression" dxfId="358" priority="93" stopIfTrue="1">
      <formula>AND(selezione_ristrutturazione="x",Ou_Rist_AttSpet_CompMet&gt;0)</formula>
    </cfRule>
    <cfRule type="expression" dxfId="357" priority="94" stopIfTrue="1">
      <formula>AND(selezione_ristrutturazione="x",Ou_Rist_AttSpor_CompMet&gt;0)</formula>
    </cfRule>
    <cfRule type="expression" dxfId="356" priority="95" stopIfTrue="1">
      <formula>AND(selezione_ristrutturazione="x",Ou_Rist_CultSan_CompMet&gt;0)</formula>
    </cfRule>
    <cfRule type="expression" dxfId="355" priority="96" stopIfTrue="1">
      <formula>AND(selezione_ristrutturazione="x",Ou_Rist_ParSil_CompMet&gt;0)</formula>
    </cfRule>
    <cfRule type="expression" dxfId="354" priority="97" stopIfTrue="1">
      <formula>AND(selezione_ristrutturazione="x",Ou_Rist_IndAlb_CompMet&gt;0)</formula>
    </cfRule>
    <cfRule type="expression" dxfId="353" priority="98" stopIfTrue="1">
      <formula>AND(selezione_ristrutturazione="x",Ou_Rist_IndArt_CompMet&gt;0)</formula>
    </cfRule>
    <cfRule type="expression" dxfId="352" priority="99" stopIfTrue="1">
      <formula>AND(selezione_ristrutturazione="x",Ou_Rist_Com_CompMet&gt;0)</formula>
    </cfRule>
    <cfRule type="expression" dxfId="351" priority="100" stopIfTrue="1">
      <formula>AND(selezione_ristrutturazione="x",Ou_Rist_Res_CompMet&gt;0)</formula>
    </cfRule>
    <cfRule type="expression" dxfId="350" priority="101" stopIfTrue="1">
      <formula>AND(selezione_ristrutturazione="x",Ou_Rist_Personalizzazione3_ParReale&gt;0)</formula>
    </cfRule>
    <cfRule type="expression" dxfId="349" priority="102" stopIfTrue="1">
      <formula>AND(selezione_ristrutturazione="x",Ou_Rist_Personalizzazione2_ParReale&gt;0)</formula>
    </cfRule>
    <cfRule type="expression" dxfId="348" priority="103" stopIfTrue="1">
      <formula>AND(selezione_ristrutturazione="x",Ou_Rist_Personalizzazione1_ParReale&gt;0)</formula>
    </cfRule>
    <cfRule type="expression" dxfId="347" priority="104" stopIfTrue="1">
      <formula>AND(selezione_ristrutturazione="x",Ou_Rist_AttSpet_ParReale&gt;0)</formula>
    </cfRule>
    <cfRule type="expression" dxfId="346" priority="105" stopIfTrue="1">
      <formula>AND(selezione_ristrutturazione="x",Ou_Rist_AttSpor_ParReale&gt;0)</formula>
    </cfRule>
    <cfRule type="expression" dxfId="345" priority="106" stopIfTrue="1">
      <formula>AND(selezione_ristrutturazione="x",Ou_Rist_CultSan_ParReale&gt;0)</formula>
    </cfRule>
    <cfRule type="expression" dxfId="344" priority="107" stopIfTrue="1">
      <formula>AND(selezione_ristrutturazione="x",Ou_Rist_ParSil_ParReale&gt;0)</formula>
    </cfRule>
    <cfRule type="expression" dxfId="343" priority="108" stopIfTrue="1">
      <formula>AND(selezione_ristrutturazione="x",Ou_Rist_IndAlb_ParReale&gt;0)</formula>
    </cfRule>
    <cfRule type="expression" dxfId="342" priority="109" stopIfTrue="1">
      <formula>AND(selezione_ristrutturazione="x",Ou_Rist_IndArt_ParReale&gt;0)</formula>
    </cfRule>
    <cfRule type="expression" dxfId="341" priority="110" stopIfTrue="1">
      <formula>AND(selezione_ristrutturazione="x",Ou_Rist_Com_ParReale&gt;0)</formula>
    </cfRule>
    <cfRule type="expression" dxfId="340" priority="111" stopIfTrue="1">
      <formula>AND(selezione_ristrutturazione="x",Ou_Rist_Res_ParReale&gt;0)</formula>
    </cfRule>
  </conditionalFormatting>
  <conditionalFormatting sqref="AR15:AX17">
    <cfRule type="expression" dxfId="339" priority="1" stopIfTrue="1">
      <formula>AND(selezione_cambio_uso="x",DetClasse_SupUtile&lt;&gt;0,CostoCost_Riferimento_Valore&lt;&gt;0)</formula>
    </cfRule>
  </conditionalFormatting>
  <conditionalFormatting sqref="AI11">
    <cfRule type="expression" dxfId="338" priority="130">
      <formula>AND(selezione_sottotetti="x",selezione_oneri_sottotetti="x")</formula>
    </cfRule>
  </conditionalFormatting>
  <conditionalFormatting sqref="AM19:AM21 AI19:AI20">
    <cfRule type="expression" dxfId="337" priority="125" stopIfTrue="1">
      <formula>AND(selezione_sottotetti="x",DetClasse_SupUtile&lt;&gt;0)</formula>
    </cfRule>
    <cfRule type="expression" dxfId="336" priority="126">
      <formula>AND(selezione_sottotetti="x",selezione_costo_costr_standard_sottotetti="x")</formula>
    </cfRule>
  </conditionalFormatting>
  <conditionalFormatting sqref="AM23:AM25 AI23:AI24">
    <cfRule type="expression" dxfId="335" priority="124" stopIfTrue="1">
      <formula>AND(selezione_sottotetti="x",CostoCost_Sott_ContEscMagg&lt;&gt;0)</formula>
    </cfRule>
  </conditionalFormatting>
  <conditionalFormatting sqref="AH12:AH13 AH11:AI11">
    <cfRule type="expression" dxfId="334" priority="123" stopIfTrue="1">
      <formula>AND(selezione_sottotetti="x",Ou_NuovaEd_Sottotetti_ParReale&gt;0)</formula>
    </cfRule>
  </conditionalFormatting>
  <conditionalFormatting sqref="AS11:AX13">
    <cfRule type="expression" dxfId="333" priority="195">
      <formula>selezione_oneri_cambio_uso="x"</formula>
    </cfRule>
  </conditionalFormatting>
  <conditionalFormatting sqref="AH27:AH29">
    <cfRule type="expression" dxfId="332" priority="83">
      <formula>selezione_sottotetti="x"</formula>
    </cfRule>
  </conditionalFormatting>
  <conditionalFormatting sqref="AI27 AN27:AN29">
    <cfRule type="expression" dxfId="331" priority="82">
      <formula>AND(selezione_sottotetti="x",selezione_parcheggi_sottotetti="x")</formula>
    </cfRule>
  </conditionalFormatting>
  <conditionalFormatting sqref="AH28:AH29 AH27:AI27 AN27:AN29">
    <cfRule type="expression" dxfId="330" priority="81" stopIfTrue="1">
      <formula>AND(selezione_sottotetti="x",Volume_Recupero_Sottotetti&gt;0)</formula>
    </cfRule>
  </conditionalFormatting>
  <conditionalFormatting sqref="AI31:AN33">
    <cfRule type="expression" dxfId="329" priority="73">
      <formula>AND(selezione_sottotetti="x",selezione_monetizzazione_sottotetti="x")</formula>
    </cfRule>
  </conditionalFormatting>
  <conditionalFormatting sqref="AS27:AX29">
    <cfRule type="expression" dxfId="328" priority="70">
      <formula>AND(selezione_cambio_uso="x",selezione_monetizzazione_cambio_uso="x")</formula>
    </cfRule>
  </conditionalFormatting>
  <conditionalFormatting sqref="AR27:AX29">
    <cfRule type="expression" dxfId="327" priority="61" stopIfTrue="1">
      <formula>AND(selezione_cambio_uso="x",Riepilogo_MonetizzAreeStand&gt;0)</formula>
    </cfRule>
    <cfRule type="expression" dxfId="326" priority="62" stopIfTrue="1">
      <formula>AND(selezione_cambio_uso="x",Riepilogo_MonetizzParcheggi&gt;0)</formula>
    </cfRule>
  </conditionalFormatting>
  <conditionalFormatting sqref="AH31:AH32">
    <cfRule type="expression" dxfId="325" priority="64">
      <formula>selezione_sottotetti="x"</formula>
    </cfRule>
  </conditionalFormatting>
  <conditionalFormatting sqref="AR27:AR28">
    <cfRule type="expression" dxfId="324" priority="69">
      <formula>selezione_cambio_uso="x"</formula>
    </cfRule>
  </conditionalFormatting>
  <conditionalFormatting sqref="N11:S13">
    <cfRule type="expression" dxfId="323" priority="36">
      <formula>AND(selezione_oneri_ampliamento="x",selezione_ampliamento="x")</formula>
    </cfRule>
  </conditionalFormatting>
  <conditionalFormatting sqref="M11:M12 M27:M28">
    <cfRule type="expression" dxfId="322" priority="38">
      <formula>selezione_ampliamento="x"</formula>
    </cfRule>
  </conditionalFormatting>
  <conditionalFormatting sqref="M15:M17">
    <cfRule type="expression" dxfId="321" priority="35">
      <formula>selezione_ampliamento="x"</formula>
    </cfRule>
  </conditionalFormatting>
  <conditionalFormatting sqref="N19:R21">
    <cfRule type="expression" dxfId="320" priority="31" stopIfTrue="1">
      <formula>AND(selezione_ampliamento="x",DetClasse_SupUtile&lt;&gt;0)</formula>
    </cfRule>
    <cfRule type="expression" dxfId="319" priority="33">
      <formula>AND(selezione_ampliamento="x",selezione_costo_costr_standard_ampliamento="x")</formula>
    </cfRule>
  </conditionalFormatting>
  <conditionalFormatting sqref="N23:R25">
    <cfRule type="expression" dxfId="318" priority="30" stopIfTrue="1">
      <formula>AND(selezione_ampliamento="x",CostoCost_Ristr_EscCorrisposto&gt;0)</formula>
    </cfRule>
    <cfRule type="expression" dxfId="317" priority="32">
      <formula>AND(selezione_ampliamento="x",selezione_costo_costr_standard_ampliamento="x")</formula>
    </cfRule>
  </conditionalFormatting>
  <conditionalFormatting sqref="M15:N15 M16:M17">
    <cfRule type="expression" dxfId="316" priority="29" stopIfTrue="1">
      <formula>AND(selezione_ampliamento="x",DetClasse_SupUtile&lt;&gt;0,CostoCost_NuovaEdif_Dovuto&lt;&gt;0)</formula>
    </cfRule>
  </conditionalFormatting>
  <conditionalFormatting sqref="L8:L9">
    <cfRule type="expression" dxfId="315" priority="28">
      <formula>AND(selezione_passo_descrizione_intervento="x",selezione_ampliamento="o")</formula>
    </cfRule>
  </conditionalFormatting>
  <conditionalFormatting sqref="N27:S29">
    <cfRule type="expression" dxfId="314" priority="37">
      <formula>AND(selezione_ampliamento="x",selezione_monetizzazione_ampliamento="x")</formula>
    </cfRule>
  </conditionalFormatting>
  <conditionalFormatting sqref="W4:W5 W3:X3 AC3:AC5">
    <cfRule type="expression" dxfId="313" priority="158" stopIfTrue="1">
      <formula>selezione_passo_descrizione_intervento="x"</formula>
    </cfRule>
  </conditionalFormatting>
  <conditionalFormatting sqref="C11:I13">
    <cfRule type="expression" dxfId="312" priority="112" stopIfTrue="1">
      <formula>AND(selezione_nuova_costruzione="x",Ou_Cost_Personalizzazione3_NuovaEdif&gt;0)</formula>
    </cfRule>
    <cfRule type="expression" dxfId="311" priority="113" stopIfTrue="1">
      <formula>AND(selezione_nuova_costruzione="x",Ou_Cost_Personalizzazione2_NuovaEdif&gt;0)</formula>
    </cfRule>
    <cfRule type="expression" dxfId="310" priority="114" stopIfTrue="1">
      <formula>AND(selezione_nuova_costruzione="x",Ou_Cost_Personalizzazione1_NuovaEdif&gt;0)</formula>
    </cfRule>
    <cfRule type="expression" dxfId="309" priority="115" stopIfTrue="1">
      <formula>AND(selezione_nuova_costruzione="x",Ou_Cost_AttSpett_NuovaEdif&gt;0)</formula>
    </cfRule>
    <cfRule type="expression" dxfId="308" priority="116" stopIfTrue="1">
      <formula>AND(selezione_nuova_costruzione="x",Ou_Cost_AttSport_NuovaEdif&gt;0)</formula>
    </cfRule>
    <cfRule type="expression" dxfId="307" priority="117" stopIfTrue="1">
      <formula>AND(selezione_nuova_costruzione="x",Ou_Cost_AttCulSan_NuovaEdif&gt;0)</formula>
    </cfRule>
    <cfRule type="expression" dxfId="306" priority="118" stopIfTrue="1">
      <formula>AND(selezione_nuova_costruzione="x",Ou_Cost_Parc_NuovaEdif&gt;0)</formula>
    </cfRule>
    <cfRule type="expression" dxfId="305" priority="119" stopIfTrue="1">
      <formula>AND(selezione_nuova_costruzione="x",Ou_Cost_IndAlb_NuovaEdif&gt;0)</formula>
    </cfRule>
    <cfRule type="expression" dxfId="304" priority="120" stopIfTrue="1">
      <formula>AND(selezione_nuova_costruzione="x",Ou_Cost_IndArt_NuovaEdif&gt;0)</formula>
    </cfRule>
    <cfRule type="expression" dxfId="303" priority="121" stopIfTrue="1">
      <formula>AND(selezione_nuova_costruzione="x",Ou_Cost_Comm_NuovaEdif&gt;0)</formula>
    </cfRule>
    <cfRule type="expression" dxfId="302" priority="192" stopIfTrue="1">
      <formula>AND(selezione_nuova_costruzione="x",Ou_Cost_Res_NuovaEdif&gt;0)</formula>
    </cfRule>
  </conditionalFormatting>
  <conditionalFormatting sqref="M11:S13">
    <cfRule type="expression" dxfId="301" priority="17" stopIfTrue="1">
      <formula>AND(selezione_ampliamento="x",Ou_Cost_Personalizzazione3_NuovaEdif&gt;0)</formula>
    </cfRule>
    <cfRule type="expression" dxfId="300" priority="18" stopIfTrue="1">
      <formula>AND(selezione_ampliamento="x",Ou_Cost_Personalizzazione2_NuovaEdif&gt;0)</formula>
    </cfRule>
    <cfRule type="expression" dxfId="299" priority="19" stopIfTrue="1">
      <formula>AND(selezione_ampliamento="x",Ou_Cost_Personalizzazione1_NuovaEdif&gt;0)</formula>
    </cfRule>
    <cfRule type="expression" dxfId="298" priority="20" stopIfTrue="1">
      <formula>AND(selezione_ampliamento="x",Ou_Cost_AttSpett_NuovaEdif&gt;0)</formula>
    </cfRule>
    <cfRule type="expression" dxfId="297" priority="21" stopIfTrue="1">
      <formula>AND(selezione_ampliamento="x",Ou_Cost_AttSport_NuovaEdif&gt;0)</formula>
    </cfRule>
    <cfRule type="expression" dxfId="296" priority="22" stopIfTrue="1">
      <formula>AND(selezione_ampliamento="x",Ou_Cost_AttCulSan_NuovaEdif&gt;0)</formula>
    </cfRule>
    <cfRule type="expression" dxfId="295" priority="23" stopIfTrue="1">
      <formula>AND(selezione_ampliamento="x",Ou_Cost_Parc_NuovaEdif&gt;0)</formula>
    </cfRule>
    <cfRule type="expression" dxfId="294" priority="24" stopIfTrue="1">
      <formula>AND(selezione_ampliamento="x",Ou_Cost_IndAlb_NuovaEdif&gt;0)</formula>
    </cfRule>
    <cfRule type="expression" dxfId="293" priority="25" stopIfTrue="1">
      <formula>AND(selezione_ampliamento="x",Ou_Cost_IndArt_NuovaEdif&gt;0)</formula>
    </cfRule>
    <cfRule type="expression" dxfId="292" priority="26" stopIfTrue="1">
      <formula>AND(selezione_ampliamento="x",Ou_Cost_Comm_NuovaEdif&gt;0)</formula>
    </cfRule>
    <cfRule type="expression" dxfId="291" priority="34" stopIfTrue="1">
      <formula>AND(selezione_ampliamento="x",Ou_Cost_Res_NuovaEdif&gt;0)</formula>
    </cfRule>
  </conditionalFormatting>
  <conditionalFormatting sqref="M27:S29">
    <cfRule type="expression" dxfId="290" priority="13">
      <formula>AND(selezione_ampliamento="x",Riepilogo_MonetizzAreeStand&gt;0)</formula>
    </cfRule>
    <cfRule type="expression" dxfId="289" priority="27" stopIfTrue="1">
      <formula>AND(selezione_ampliamento="x",Riepilogo_MonetizzParcheggi&gt;0)</formula>
    </cfRule>
  </conditionalFormatting>
  <conditionalFormatting sqref="C27:I29">
    <cfRule type="expression" dxfId="288" priority="14" stopIfTrue="1">
      <formula>AND(selezione_nuova_costruzione="x",Riepilogo_MonetizzAreeStand&gt;0)</formula>
    </cfRule>
    <cfRule type="expression" dxfId="287" priority="148" stopIfTrue="1">
      <formula>AND(selezione_nuova_costruzione="x",Riepilogo_MonetizzParcheggi&gt;0)</formula>
    </cfRule>
  </conditionalFormatting>
  <conditionalFormatting sqref="W41:W43">
    <cfRule type="expression" dxfId="286" priority="146">
      <formula>Complessivo_ConMagg&gt;0</formula>
    </cfRule>
  </conditionalFormatting>
  <conditionalFormatting sqref="AH15:AN17">
    <cfRule type="expression" dxfId="285" priority="15" stopIfTrue="1">
      <formula>AND(selezione_sottotetti="x",DetClasse_SupUtile&lt;&gt;0,CostoCost_Sott_ContEscMagg&lt;&gt;0)</formula>
    </cfRule>
  </conditionalFormatting>
  <conditionalFormatting sqref="AH31:AN33">
    <cfRule type="expression" dxfId="284" priority="12" stopIfTrue="1">
      <formula>AND(selezione_sottotetti="x",Riepilogo_MonetizzAreeStand&gt;0)</formula>
    </cfRule>
    <cfRule type="expression" dxfId="283" priority="63" stopIfTrue="1">
      <formula>AND(selezione_sottotetti="x",Riepilogo_MonetizzParcheggi&gt;0)</formula>
    </cfRule>
  </conditionalFormatting>
  <conditionalFormatting sqref="AS23:AW25">
    <cfRule type="expression" dxfId="282" priority="7" stopIfTrue="1">
      <formula>AND(selezione_cambio_uso="x",CostoCost_Ristr_EscCorrisposto&gt;0)</formula>
    </cfRule>
  </conditionalFormatting>
  <conditionalFormatting sqref="AS19:AW21">
    <cfRule type="expression" dxfId="281" priority="8" stopIfTrue="1">
      <formula>AND(selezione_cambio_uso="x",DetClasse_SupUtile&lt;&gt;0)</formula>
    </cfRule>
  </conditionalFormatting>
  <conditionalFormatting sqref="AR11:AX13">
    <cfRule type="expression" dxfId="280" priority="87" stopIfTrue="1">
      <formula>AND(selezione_cambio_uso="x",smalt_rifiuti_dest_finale&gt;0,smalt_rifiuti_dest_iniziale&gt;0)</formula>
    </cfRule>
    <cfRule type="expression" dxfId="279" priority="88" stopIfTrue="1">
      <formula>AND(selezione_cambio_uso="x",oneri_urb_sec_dest_finale&gt;0,oneri_urb_sec_dest_iniziale&gt;0)</formula>
    </cfRule>
    <cfRule type="expression" dxfId="278" priority="89" stopIfTrue="1">
      <formula>AND(selezione_cambio_uso="x",oneri_urb_prim_dest_finale&gt;0,oneri_urb_prim_dest_iniziale&gt;0)</formula>
    </cfRule>
  </conditionalFormatting>
  <conditionalFormatting sqref="AS19:AW21 AS23:AW25">
    <cfRule type="expression" dxfId="277" priority="10">
      <formula>AND(selezione_cambio_uso="x",selezione_costo_costr_standard_cambio_uso="x")</formula>
    </cfRule>
  </conditionalFormatting>
  <conditionalFormatting sqref="X15:AC17">
    <cfRule type="expression" dxfId="276" priority="6">
      <formula>AND(selezione_ristrutturazione="x",DetClasse_SupUtile&lt;&gt;0,CostoCost_Riferimento_Valore&lt;&gt;0)</formula>
    </cfRule>
  </conditionalFormatting>
  <conditionalFormatting sqref="W15:W17">
    <cfRule type="expression" dxfId="275" priority="4">
      <formula>AND(selezione_ristrutturazione="x",DetClasse_SupUtile&lt;&gt;0,CostoCost_Riferimento_Valore&lt;&gt;0)</formula>
    </cfRule>
    <cfRule type="expression" dxfId="274" priority="5">
      <formula>selezione_ristrutturazione="x"</formula>
    </cfRule>
  </conditionalFormatting>
  <conditionalFormatting sqref="W27:W29">
    <cfRule type="expression" dxfId="273" priority="134">
      <formula>selezione_ristrutturazione="x"</formula>
    </cfRule>
  </conditionalFormatting>
  <conditionalFormatting sqref="W11:W13">
    <cfRule type="expression" dxfId="272" priority="131">
      <formula>selezione_ristrutturazione="x"</formula>
    </cfRule>
  </conditionalFormatting>
  <conditionalFormatting sqref="AR15:AR17">
    <cfRule type="expression" dxfId="271" priority="137">
      <formula>selezione_cambio_uso="x"</formula>
    </cfRule>
  </conditionalFormatting>
  <dataValidations count="2">
    <dataValidation type="list" operator="equal" allowBlank="1" showInputMessage="1" showErrorMessage="1" sqref="C27:C29 C15:C17 B8:B9 C11:C13 AH31:AH33 M11:M13 M27:M29 M15:M17 L8:L9 AR27:AR29">
      <formula1>opzioni</formula1>
    </dataValidation>
    <dataValidation type="list" allowBlank="1" showInputMessage="1" showErrorMessage="1" sqref="W11:W13 W15:W17 W27:W29 AQ21:AQ22 AH11:AH13 AH15:AH17 V8:V9 AG8:AG9 AQ8:AQ9 AH27:AH29 W3 AA6 W41 AR11:AR13 AR15">
      <formula1>opzioni</formula1>
    </dataValidation>
  </dataValidations>
  <hyperlinks>
    <hyperlink ref="X11:AC13" location="link_oneri_urbanizzazione" display="Calcola gli oneri di urbanizzazione"/>
    <hyperlink ref="AI19:AM21" location="'Determinazione classe'!A1" display="Determina la classe dell'edificio"/>
    <hyperlink ref="X19:AB21" location="'Determinazione classe'!A1" display="Determina la classe dell'edificio"/>
    <hyperlink ref="X23:AB25" location="'Costo Costruzione'!A1" display="Calcola il costo di costruzione"/>
    <hyperlink ref="X31:AB33" location="'Costo costruzione statofatto'!A1" display="Costo di costruzione per lo stato di fatto"/>
    <hyperlink ref="X35:AB37" location="'Costo costruzione progetto'!A1" display="Costo di costruzione per lo stato di progetto"/>
    <hyperlink ref="D11:I13" location="link_oneri_urbanizzazione" display="Calcola gli oneri di urbanizzazione"/>
    <hyperlink ref="D19:H21" location="'Determinazione classe'!A1" display="Determina la classe dell'edificio"/>
    <hyperlink ref="D23:H25" location="'Costo Costruzione'!A1" display="Calcola il costo di costruzione"/>
    <hyperlink ref="D27:I29" location="link_monetizzazione_standards" display="Calcola la monetizzazione standards/parcheggi"/>
    <hyperlink ref="N11:S13" location="link_oneri_urbanizzazione" display="Calcola gli oneri di urbanizzazione"/>
    <hyperlink ref="N19:R21" location="'Determinazione classe'!A1" display="Determina la classe dell'edificio"/>
    <hyperlink ref="N23:R25" location="'Costo Costruzione'!A1" display="Calcola il costo di costruzione"/>
    <hyperlink ref="R46:W48" location="'Riepilogo generale'!A1" display="Visualizza il riepilogo generale"/>
    <hyperlink ref="AC46:AI48" location="'Riepilogo oneri e costi'!A1" display="Visualizza il riepilogo analitico degli oneri e costi"/>
    <hyperlink ref="AI11:AN13" location="link_oneri_urbanizzazione" display="Calcola gli oneri di urbanizzazione"/>
    <hyperlink ref="AT11:AV13" location="link_oneri_urbanizzazione_cambio_uso" display="Calcola gli  oneri di urbanizzazione"/>
    <hyperlink ref="N27:S29" location="link_monetizzazione_standards" display="Calcola la monetizzazione standards/parcheggi"/>
    <hyperlink ref="AI27:AN29" location="'Calcolo superficie parcheggio'!A1" display="Calcola la superficie da adibire a parcheggi"/>
    <hyperlink ref="AI31:AN33" location="link_monetizzazione_standards" display="Calcola la monetizzazione standards/parcheggi"/>
    <hyperlink ref="AT27:AV29" location="link_monetizzazione_standards" display="Calcola la monetizzazione standards/parcheggi"/>
    <hyperlink ref="AI23:AM25" location="'Costo Costruzione'!A1" display="Calcola il costo di costruzione"/>
    <hyperlink ref="AS19:AW21" location="'Determinazione classe'!A1" display="Determina la classe dell'edificio"/>
    <hyperlink ref="AS23:AW25" location="'Costo Costruzione'!A1" display="Calcola il costo di costruzione"/>
  </hyperlinks>
  <pageMargins left="0.11811023622047245" right="0.19685039370078741" top="0.55118110236220474" bottom="0.15748031496062992" header="0.31496062992125984" footer="0.31496062992125984"/>
  <pageSetup paperSize="9" scale="74"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66"/>
  </sheetPr>
  <dimension ref="A1:IU30"/>
  <sheetViews>
    <sheetView showGridLines="0" workbookViewId="0"/>
  </sheetViews>
  <sheetFormatPr defaultColWidth="0" defaultRowHeight="12.75" zeroHeight="1" x14ac:dyDescent="0.2"/>
  <cols>
    <col min="1" max="1" width="5.7109375" customWidth="1"/>
    <col min="2" max="2" width="7.7109375" customWidth="1"/>
    <col min="3" max="4" width="15.7109375" customWidth="1"/>
    <col min="5" max="5" width="18.7109375" customWidth="1"/>
    <col min="6" max="6" width="9.140625" hidden="1" customWidth="1"/>
    <col min="7" max="255" width="0" hidden="1" customWidth="1"/>
    <col min="256" max="16384" width="11.42578125" hidden="1"/>
  </cols>
  <sheetData>
    <row r="1" spans="1:6" x14ac:dyDescent="0.2"/>
    <row r="2" spans="1:6" ht="45" customHeight="1" thickBot="1" x14ac:dyDescent="0.25">
      <c r="A2" s="571"/>
      <c r="B2" s="1102" t="s">
        <v>247</v>
      </c>
      <c r="C2" s="1102"/>
      <c r="D2" s="1102"/>
      <c r="E2" s="571"/>
      <c r="F2" s="571"/>
    </row>
    <row r="3" spans="1:6" ht="38.25" x14ac:dyDescent="0.2">
      <c r="B3" s="263" t="s">
        <v>89</v>
      </c>
      <c r="C3" s="264" t="s">
        <v>248</v>
      </c>
      <c r="D3" s="265" t="s">
        <v>99</v>
      </c>
      <c r="E3" s="54"/>
    </row>
    <row r="4" spans="1:6" ht="12.75" customHeight="1" x14ac:dyDescent="0.2">
      <c r="B4" s="259" t="str">
        <f>IF(C4&gt;0,1,"")</f>
        <v/>
      </c>
      <c r="C4" s="644">
        <v>0</v>
      </c>
      <c r="D4" s="266">
        <f t="shared" ref="D4:D22" si="0">IF(C4/10&gt;25,25,C4/10)</f>
        <v>0</v>
      </c>
    </row>
    <row r="5" spans="1:6" ht="12.75" customHeight="1" x14ac:dyDescent="0.2">
      <c r="B5" s="259" t="str">
        <f>IF(C5&gt;0,B4+1,"")</f>
        <v/>
      </c>
      <c r="C5" s="644">
        <v>0</v>
      </c>
      <c r="D5" s="266">
        <f t="shared" si="0"/>
        <v>0</v>
      </c>
      <c r="E5" s="976" t="s">
        <v>293</v>
      </c>
    </row>
    <row r="6" spans="1:6" ht="12.75" customHeight="1" x14ac:dyDescent="0.2">
      <c r="B6" s="259" t="str">
        <f t="shared" ref="B6:B21" si="1">IF(C6&gt;0,B5+1,"")</f>
        <v/>
      </c>
      <c r="C6" s="644">
        <v>0</v>
      </c>
      <c r="D6" s="266">
        <f t="shared" si="0"/>
        <v>0</v>
      </c>
      <c r="E6" s="976"/>
    </row>
    <row r="7" spans="1:6" ht="12.75" customHeight="1" x14ac:dyDescent="0.2">
      <c r="B7" s="259" t="str">
        <f t="shared" si="1"/>
        <v/>
      </c>
      <c r="C7" s="644">
        <v>0</v>
      </c>
      <c r="D7" s="266">
        <f t="shared" si="0"/>
        <v>0</v>
      </c>
    </row>
    <row r="8" spans="1:6" ht="12.75" customHeight="1" x14ac:dyDescent="0.2">
      <c r="B8" s="259" t="str">
        <f t="shared" si="1"/>
        <v/>
      </c>
      <c r="C8" s="644">
        <v>0</v>
      </c>
      <c r="D8" s="266">
        <f t="shared" si="0"/>
        <v>0</v>
      </c>
    </row>
    <row r="9" spans="1:6" ht="12.75" customHeight="1" x14ac:dyDescent="0.2">
      <c r="B9" s="259" t="str">
        <f t="shared" si="1"/>
        <v/>
      </c>
      <c r="C9" s="644">
        <v>0</v>
      </c>
      <c r="D9" s="266">
        <f t="shared" si="0"/>
        <v>0</v>
      </c>
    </row>
    <row r="10" spans="1:6" ht="12.75" customHeight="1" x14ac:dyDescent="0.2">
      <c r="B10" s="259" t="str">
        <f t="shared" si="1"/>
        <v/>
      </c>
      <c r="C10" s="644">
        <v>0</v>
      </c>
      <c r="D10" s="266">
        <f t="shared" si="0"/>
        <v>0</v>
      </c>
    </row>
    <row r="11" spans="1:6" ht="12.75" customHeight="1" x14ac:dyDescent="0.2">
      <c r="B11" s="259" t="str">
        <f t="shared" si="1"/>
        <v/>
      </c>
      <c r="C11" s="644">
        <v>0</v>
      </c>
      <c r="D11" s="266">
        <f t="shared" si="0"/>
        <v>0</v>
      </c>
    </row>
    <row r="12" spans="1:6" ht="12.75" customHeight="1" x14ac:dyDescent="0.2">
      <c r="B12" s="259" t="str">
        <f t="shared" si="1"/>
        <v/>
      </c>
      <c r="C12" s="644">
        <v>0</v>
      </c>
      <c r="D12" s="266">
        <f t="shared" si="0"/>
        <v>0</v>
      </c>
    </row>
    <row r="13" spans="1:6" ht="12.75" customHeight="1" x14ac:dyDescent="0.2">
      <c r="B13" s="259" t="str">
        <f t="shared" si="1"/>
        <v/>
      </c>
      <c r="C13" s="644">
        <v>0</v>
      </c>
      <c r="D13" s="266">
        <f t="shared" si="0"/>
        <v>0</v>
      </c>
    </row>
    <row r="14" spans="1:6" ht="12.75" customHeight="1" x14ac:dyDescent="0.2">
      <c r="B14" s="259" t="str">
        <f t="shared" si="1"/>
        <v/>
      </c>
      <c r="C14" s="644">
        <v>0</v>
      </c>
      <c r="D14" s="266">
        <f t="shared" si="0"/>
        <v>0</v>
      </c>
    </row>
    <row r="15" spans="1:6" ht="12.75" customHeight="1" x14ac:dyDescent="0.2">
      <c r="B15" s="259" t="str">
        <f t="shared" si="1"/>
        <v/>
      </c>
      <c r="C15" s="644">
        <v>0</v>
      </c>
      <c r="D15" s="266">
        <f t="shared" si="0"/>
        <v>0</v>
      </c>
    </row>
    <row r="16" spans="1:6" ht="12.75" customHeight="1" x14ac:dyDescent="0.2">
      <c r="B16" s="259" t="str">
        <f t="shared" si="1"/>
        <v/>
      </c>
      <c r="C16" s="644">
        <v>0</v>
      </c>
      <c r="D16" s="266">
        <f t="shared" si="0"/>
        <v>0</v>
      </c>
    </row>
    <row r="17" spans="2:4" ht="12.75" customHeight="1" x14ac:dyDescent="0.2">
      <c r="B17" s="259" t="str">
        <f t="shared" si="1"/>
        <v/>
      </c>
      <c r="C17" s="644">
        <v>0</v>
      </c>
      <c r="D17" s="266">
        <f t="shared" si="0"/>
        <v>0</v>
      </c>
    </row>
    <row r="18" spans="2:4" ht="12.75" customHeight="1" x14ac:dyDescent="0.2">
      <c r="B18" s="259" t="str">
        <f t="shared" si="1"/>
        <v/>
      </c>
      <c r="C18" s="644">
        <v>0</v>
      </c>
      <c r="D18" s="266">
        <f t="shared" si="0"/>
        <v>0</v>
      </c>
    </row>
    <row r="19" spans="2:4" ht="12.75" customHeight="1" x14ac:dyDescent="0.2">
      <c r="B19" s="259" t="str">
        <f t="shared" si="1"/>
        <v/>
      </c>
      <c r="C19" s="644">
        <v>0</v>
      </c>
      <c r="D19" s="266">
        <f t="shared" si="0"/>
        <v>0</v>
      </c>
    </row>
    <row r="20" spans="2:4" ht="12.75" customHeight="1" x14ac:dyDescent="0.2">
      <c r="B20" s="259" t="str">
        <f t="shared" si="1"/>
        <v/>
      </c>
      <c r="C20" s="644">
        <v>0</v>
      </c>
      <c r="D20" s="266">
        <f t="shared" si="0"/>
        <v>0</v>
      </c>
    </row>
    <row r="21" spans="2:4" ht="12.75" customHeight="1" x14ac:dyDescent="0.2">
      <c r="B21" s="259" t="str">
        <f t="shared" si="1"/>
        <v/>
      </c>
      <c r="C21" s="644">
        <v>0</v>
      </c>
      <c r="D21" s="266">
        <f t="shared" si="0"/>
        <v>0</v>
      </c>
    </row>
    <row r="22" spans="2:4" ht="12.75" customHeight="1" thickBot="1" x14ac:dyDescent="0.25">
      <c r="B22" s="260" t="str">
        <f>IF(C22&gt;0,B21+1,"")</f>
        <v/>
      </c>
      <c r="C22" s="645">
        <v>0</v>
      </c>
      <c r="D22" s="267">
        <f t="shared" si="0"/>
        <v>0</v>
      </c>
    </row>
    <row r="23" spans="2:4" ht="15.75" x14ac:dyDescent="0.25">
      <c r="B23" s="252" t="s">
        <v>105</v>
      </c>
      <c r="C23" s="261">
        <f>SUM(C4:C22)</f>
        <v>0</v>
      </c>
      <c r="D23" s="262">
        <f>SUM(D4:D22)</f>
        <v>0</v>
      </c>
    </row>
    <row r="24" spans="2:4" x14ac:dyDescent="0.2"/>
    <row r="25" spans="2:4" hidden="1" x14ac:dyDescent="0.2"/>
    <row r="26" spans="2:4" hidden="1" x14ac:dyDescent="0.2"/>
    <row r="27" spans="2:4" hidden="1" x14ac:dyDescent="0.2"/>
    <row r="28" spans="2:4" hidden="1" x14ac:dyDescent="0.2"/>
    <row r="29" spans="2:4" hidden="1" x14ac:dyDescent="0.2"/>
    <row r="30" spans="2:4" hidden="1" x14ac:dyDescent="0.2"/>
  </sheetData>
  <sheetProtection password="83CC" sheet="1" objects="1" scenarios="1" formatColumns="0" formatRows="0" insertRows="0"/>
  <mergeCells count="2">
    <mergeCell ref="B2:D2"/>
    <mergeCell ref="E5:E6"/>
  </mergeCells>
  <conditionalFormatting sqref="C4:C22">
    <cfRule type="expression" dxfId="20" priority="1" stopIfTrue="1">
      <formula>AND(selezione_passo_descrizione_intervento="x",selezione_sottotetti="x",selezione_parcheggi_sottotetti="x")</formula>
    </cfRule>
    <cfRule type="expression" dxfId="19" priority="2">
      <formula>AND(selezione_passo_descrizione_intervento="x",selezione_sottotetti="x",selezione_parcheggi_sottotetti="o",selezione_calcolo_completo="o")</formula>
    </cfRule>
    <cfRule type="expression" dxfId="18" priority="3">
      <formula>AND(selezione_passo_descrizione_intervento="x",selezione_sottotetti="o",selezione_calcolo_completo="o")</formula>
    </cfRule>
    <cfRule type="expression" dxfId="17" priority="4">
      <formula>AND(selezione_passo_descrizione_intervento="x",selezione_cambio_uso="o",selezione_calcolo_completo="o")</formula>
    </cfRule>
    <cfRule type="expression" dxfId="16" priority="5">
      <formula>AND(selezione_passo_descrizione_intervento="x",selezione_cambio_uso="x",selezione_calcolo_completo="o")</formula>
    </cfRule>
    <cfRule type="expression" dxfId="15" priority="6">
      <formula>AND(selezione_passo_descrizione_intervento="x",selezione_ristrutturazione="x",selezione_calcolo_completo="o")</formula>
    </cfRule>
    <cfRule type="expression" dxfId="14" priority="7">
      <formula>AND(selezione_passo_descrizione_intervento="x",selezione_ristrutturazione="o",selezione_calcolo_completo="o")</formula>
    </cfRule>
    <cfRule type="expression" dxfId="13" priority="8">
      <formula>AND(selezione_passo_descrizione_intervento="x",selezione_ampliamento="o",selezione_calcolo_completo="o")</formula>
    </cfRule>
    <cfRule type="expression" dxfId="12" priority="9">
      <formula>AND(selezione_passo_descrizione_intervento="x",selezione_ampliamento="x",selezione_calcolo_completo="o")</formula>
    </cfRule>
    <cfRule type="expression" dxfId="11" priority="10">
      <formula>AND(selezione_passo_descrizione_intervento="x",selezione_nuova_costruzione="o",selezione_calcolo_completo="o")</formula>
    </cfRule>
    <cfRule type="expression" dxfId="10" priority="11">
      <formula>AND(selezione_passo_descrizione_intervento="x",selezione_nuova_costruzione="x",selezione_calcolo_completo="o")</formula>
    </cfRule>
  </conditionalFormatting>
  <hyperlinks>
    <hyperlink ref="E5:E6" location="'Procedura guidata (Office 2007)'!A1" display="Torna alla procedura guidata!"/>
  </hyperlinks>
  <printOptions horizontalCentered="1"/>
  <pageMargins left="0.70866141732283472" right="0.70866141732283472" top="1.3130314960629921" bottom="0.74803149606299213" header="0.31496062992125984" footer="0.31496062992125984"/>
  <pageSetup paperSize="9" scale="95"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66"/>
  </sheetPr>
  <dimension ref="A1:AD172"/>
  <sheetViews>
    <sheetView showGridLines="0" topLeftCell="A116" workbookViewId="0"/>
  </sheetViews>
  <sheetFormatPr defaultColWidth="0" defaultRowHeight="12.75" zeroHeight="1" x14ac:dyDescent="0.2"/>
  <cols>
    <col min="1" max="1" width="17" customWidth="1"/>
    <col min="2" max="2" width="9.5703125" customWidth="1"/>
    <col min="3" max="3" width="10.7109375" customWidth="1"/>
    <col min="4" max="4" width="12.7109375" customWidth="1"/>
    <col min="5" max="5" width="10.7109375" customWidth="1"/>
    <col min="6" max="6" width="12.7109375" customWidth="1"/>
    <col min="7" max="7" width="10.7109375" customWidth="1"/>
    <col min="8" max="8" width="12.7109375" customWidth="1"/>
    <col min="9" max="9" width="10.7109375" customWidth="1"/>
    <col min="10" max="10" width="12.7109375" customWidth="1"/>
    <col min="11" max="11" width="10.7109375" customWidth="1"/>
    <col min="12" max="12" width="12.7109375" customWidth="1"/>
    <col min="13" max="13" width="10.7109375" customWidth="1"/>
    <col min="14" max="14" width="15.7109375" customWidth="1"/>
    <col min="15" max="15" width="10.7109375" customWidth="1"/>
    <col min="16" max="16" width="18.7109375" customWidth="1"/>
    <col min="17" max="17" width="10.7109375" customWidth="1"/>
    <col min="18" max="18" width="12.7109375" customWidth="1"/>
    <col min="19" max="19" width="10.7109375" customWidth="1"/>
    <col min="20" max="20" width="12.7109375" customWidth="1"/>
    <col min="21" max="26" width="14.7109375" customWidth="1"/>
    <col min="27" max="30" width="14.7109375" hidden="1" customWidth="1"/>
    <col min="31" max="31" width="9.140625" customWidth="1"/>
  </cols>
  <sheetData>
    <row r="1" spans="1:30" x14ac:dyDescent="0.2"/>
    <row r="2" spans="1:30" ht="21.75" customHeight="1" x14ac:dyDescent="0.2">
      <c r="A2" s="269"/>
      <c r="B2" s="41"/>
      <c r="C2" s="1110" t="str">
        <f>Parametri_DestUsoPersonalizzazione1</f>
        <v>Residenziale</v>
      </c>
      <c r="D2" s="1111"/>
      <c r="E2" s="1136" t="s">
        <v>139</v>
      </c>
      <c r="F2" s="1137"/>
      <c r="G2" s="1110" t="str">
        <f>Parametri_DestUsoPersonalizzazione2</f>
        <v>Artigianato e piccola industria</v>
      </c>
      <c r="H2" s="1111"/>
      <c r="I2" s="1110" t="str">
        <f>Parametri_DestUsoPersonalizzazione3</f>
        <v>Industria</v>
      </c>
      <c r="J2" s="1111"/>
      <c r="K2" s="1110" t="str">
        <f>Parametri_DestUsoPersonalizzazione4</f>
        <v>Industriale alberghiera (alberghi)</v>
      </c>
      <c r="L2" s="1111"/>
      <c r="M2" s="1105" t="str">
        <f>Parametri_DestUsoPersonalizzazione5</f>
        <v>Industriale alberghiera (altre tipologie)</v>
      </c>
      <c r="N2" s="1106"/>
      <c r="O2" s="1105" t="str">
        <f>Parametri_DestUsoPersonalizzazione6</f>
        <v>Attività direzionali e commerciali</v>
      </c>
      <c r="P2" s="1106"/>
      <c r="Q2" s="1105" t="str">
        <f>Parametri_DestUsoPersonalizzazione7</f>
        <v>Parcheggi coperti e solos autoveicoli (per posto macchina)</v>
      </c>
      <c r="R2" s="1106"/>
      <c r="S2" s="1105" t="str">
        <f>Parametri_DestUsoPersonalizzazione8</f>
        <v>Attrezzature culturali sanitarie e assistenziali</v>
      </c>
      <c r="T2" s="1106"/>
      <c r="U2" s="1105" t="str">
        <f>Parametri_DestUsoPersonalizzazione9</f>
        <v>Attrezzature sportive</v>
      </c>
      <c r="V2" s="1106"/>
      <c r="W2" s="1110" t="str">
        <f>Parametri_DestUsoPersonalizzazione10</f>
        <v>Attrezzature spettacolo</v>
      </c>
      <c r="X2" s="1111"/>
      <c r="Y2" s="1105" t="str">
        <f>Parametri_DestUsoPersonalizzazione11</f>
        <v>Campeggi (per utente)</v>
      </c>
      <c r="Z2" s="1106"/>
      <c r="AA2" s="1105" t="str">
        <f>Parametri_DestUsoPersonalizzazione12</f>
        <v>Destinazione personalizzata 4</v>
      </c>
      <c r="AB2" s="1106"/>
      <c r="AC2" s="1105" t="str">
        <f>Parametri_DestUsoPersonalizzazione13</f>
        <v>Destinazione personalizzata 5</v>
      </c>
      <c r="AD2" s="1106"/>
    </row>
    <row r="3" spans="1:30" ht="22.5" x14ac:dyDescent="0.2">
      <c r="A3" s="43"/>
      <c r="B3" s="270" t="s">
        <v>162</v>
      </c>
      <c r="C3" s="271" t="s">
        <v>5</v>
      </c>
      <c r="D3" s="272" t="s">
        <v>0</v>
      </c>
      <c r="E3" s="271" t="s">
        <v>5</v>
      </c>
      <c r="F3" s="272" t="s">
        <v>0</v>
      </c>
      <c r="G3" s="271" t="s">
        <v>5</v>
      </c>
      <c r="H3" s="272" t="s">
        <v>0</v>
      </c>
      <c r="I3" s="271" t="s">
        <v>5</v>
      </c>
      <c r="J3" s="272" t="s">
        <v>0</v>
      </c>
      <c r="K3" s="271" t="s">
        <v>5</v>
      </c>
      <c r="L3" s="273" t="s">
        <v>0</v>
      </c>
      <c r="M3" s="271" t="s">
        <v>5</v>
      </c>
      <c r="N3" s="273" t="s">
        <v>0</v>
      </c>
      <c r="O3" s="271" t="s">
        <v>5</v>
      </c>
      <c r="P3" s="273" t="s">
        <v>0</v>
      </c>
      <c r="Q3" s="271" t="s">
        <v>5</v>
      </c>
      <c r="R3" s="272" t="s">
        <v>0</v>
      </c>
      <c r="S3" s="271" t="s">
        <v>5</v>
      </c>
      <c r="T3" s="272" t="s">
        <v>0</v>
      </c>
      <c r="U3" s="271" t="s">
        <v>5</v>
      </c>
      <c r="V3" s="272" t="s">
        <v>0</v>
      </c>
      <c r="W3" s="271" t="s">
        <v>5</v>
      </c>
      <c r="X3" s="272" t="s">
        <v>0</v>
      </c>
      <c r="Y3" s="271" t="s">
        <v>5</v>
      </c>
      <c r="Z3" s="272" t="s">
        <v>0</v>
      </c>
      <c r="AA3" s="271" t="s">
        <v>5</v>
      </c>
      <c r="AB3" s="272" t="s">
        <v>0</v>
      </c>
      <c r="AC3" s="271" t="s">
        <v>5</v>
      </c>
      <c r="AD3" s="272" t="s">
        <v>0</v>
      </c>
    </row>
    <row r="4" spans="1:30" x14ac:dyDescent="0.2">
      <c r="A4" s="268" t="s">
        <v>256</v>
      </c>
      <c r="B4" s="1133" t="str">
        <f>IF(Zona1&lt;&gt;"",Zona1,"")</f>
        <v>A</v>
      </c>
      <c r="C4" s="646">
        <v>7.36</v>
      </c>
      <c r="D4" s="647">
        <v>4.91</v>
      </c>
      <c r="E4" s="646"/>
      <c r="F4" s="647"/>
      <c r="G4" s="646">
        <v>17.41</v>
      </c>
      <c r="H4" s="647">
        <v>8.6999999999999993</v>
      </c>
      <c r="I4" s="646">
        <v>18.75</v>
      </c>
      <c r="J4" s="647">
        <v>9.3800000000000008</v>
      </c>
      <c r="K4" s="646">
        <v>27.55</v>
      </c>
      <c r="L4" s="647">
        <v>13.79</v>
      </c>
      <c r="M4" s="646">
        <v>27.55</v>
      </c>
      <c r="N4" s="647">
        <v>13.79</v>
      </c>
      <c r="O4" s="646">
        <v>71.98</v>
      </c>
      <c r="P4" s="647">
        <v>13.79</v>
      </c>
      <c r="Q4" s="646">
        <v>14.4</v>
      </c>
      <c r="R4" s="647">
        <v>9.08</v>
      </c>
      <c r="S4" s="646">
        <v>14.4</v>
      </c>
      <c r="T4" s="647">
        <v>7.2</v>
      </c>
      <c r="U4" s="646">
        <v>7.2</v>
      </c>
      <c r="V4" s="647">
        <v>3.61</v>
      </c>
      <c r="W4" s="646">
        <v>21.6</v>
      </c>
      <c r="X4" s="647">
        <v>10.8</v>
      </c>
      <c r="Y4" s="646">
        <v>236.18</v>
      </c>
      <c r="Z4" s="647"/>
      <c r="AA4" s="646"/>
      <c r="AB4" s="647"/>
      <c r="AC4" s="646"/>
      <c r="AD4" s="647"/>
    </row>
    <row r="5" spans="1:30" x14ac:dyDescent="0.2">
      <c r="A5" s="268" t="s">
        <v>257</v>
      </c>
      <c r="B5" s="1134"/>
      <c r="C5" s="648">
        <v>17.489999999999998</v>
      </c>
      <c r="D5" s="649">
        <v>7.78</v>
      </c>
      <c r="E5" s="648"/>
      <c r="F5" s="649"/>
      <c r="G5" s="648">
        <v>7.42</v>
      </c>
      <c r="H5" s="649">
        <v>3.72</v>
      </c>
      <c r="I5" s="648">
        <v>11.31</v>
      </c>
      <c r="J5" s="649">
        <v>5.66</v>
      </c>
      <c r="K5" s="648">
        <v>23.01</v>
      </c>
      <c r="L5" s="649">
        <v>11.51</v>
      </c>
      <c r="M5" s="648">
        <v>25.71</v>
      </c>
      <c r="N5" s="649">
        <v>12.85</v>
      </c>
      <c r="O5" s="648">
        <v>45.4</v>
      </c>
      <c r="P5" s="649">
        <v>12.85</v>
      </c>
      <c r="Q5" s="648">
        <v>7.2</v>
      </c>
      <c r="R5" s="649">
        <v>4.54</v>
      </c>
      <c r="S5" s="648">
        <v>9.08</v>
      </c>
      <c r="T5" s="649">
        <v>4.54</v>
      </c>
      <c r="U5" s="648">
        <v>4.54</v>
      </c>
      <c r="V5" s="649">
        <v>2.27</v>
      </c>
      <c r="W5" s="648">
        <v>13.63</v>
      </c>
      <c r="X5" s="649">
        <v>6.81</v>
      </c>
      <c r="Y5" s="648">
        <v>197.13</v>
      </c>
      <c r="Z5" s="649"/>
      <c r="AA5" s="648"/>
      <c r="AB5" s="649"/>
      <c r="AC5" s="648"/>
      <c r="AD5" s="649"/>
    </row>
    <row r="6" spans="1:30" x14ac:dyDescent="0.2">
      <c r="A6" s="268" t="s">
        <v>85</v>
      </c>
      <c r="B6" s="1135"/>
      <c r="C6" s="648"/>
      <c r="D6" s="649"/>
      <c r="E6" s="648"/>
      <c r="F6" s="649"/>
      <c r="G6" s="648">
        <v>3.57</v>
      </c>
      <c r="H6" s="649">
        <v>1.79</v>
      </c>
      <c r="I6" s="648">
        <v>3.84</v>
      </c>
      <c r="J6" s="649">
        <v>1.92</v>
      </c>
      <c r="K6" s="648"/>
      <c r="L6" s="649"/>
      <c r="M6" s="648"/>
      <c r="N6" s="649"/>
      <c r="O6" s="648"/>
      <c r="P6" s="649"/>
      <c r="Q6" s="648"/>
      <c r="R6" s="649"/>
      <c r="S6" s="648"/>
      <c r="T6" s="649"/>
      <c r="U6" s="648"/>
      <c r="V6" s="649"/>
      <c r="W6" s="648"/>
      <c r="X6" s="649"/>
      <c r="Y6" s="648"/>
      <c r="Z6" s="649"/>
      <c r="AA6" s="648"/>
      <c r="AB6" s="649"/>
      <c r="AC6" s="648"/>
      <c r="AD6" s="649"/>
    </row>
    <row r="7" spans="1:30" x14ac:dyDescent="0.2">
      <c r="A7" s="268" t="s">
        <v>256</v>
      </c>
      <c r="B7" s="1133" t="str">
        <f>IF(Zona2&lt;&gt;"",Zona2,"")</f>
        <v>B</v>
      </c>
      <c r="C7" s="646">
        <v>7.36</v>
      </c>
      <c r="D7" s="647">
        <v>4.91</v>
      </c>
      <c r="E7" s="646"/>
      <c r="F7" s="647"/>
      <c r="G7" s="646">
        <v>17.41</v>
      </c>
      <c r="H7" s="647">
        <v>8.6999999999999993</v>
      </c>
      <c r="I7" s="646">
        <v>18.75</v>
      </c>
      <c r="J7" s="647">
        <v>9.3800000000000008</v>
      </c>
      <c r="K7" s="646">
        <v>27.55</v>
      </c>
      <c r="L7" s="647">
        <v>13.79</v>
      </c>
      <c r="M7" s="646">
        <v>27.55</v>
      </c>
      <c r="N7" s="647">
        <v>13.79</v>
      </c>
      <c r="O7" s="646">
        <v>71.98</v>
      </c>
      <c r="P7" s="647">
        <v>13.79</v>
      </c>
      <c r="Q7" s="646">
        <v>14.4</v>
      </c>
      <c r="R7" s="647">
        <v>9.08</v>
      </c>
      <c r="S7" s="646">
        <v>14.4</v>
      </c>
      <c r="T7" s="647">
        <v>7.2</v>
      </c>
      <c r="U7" s="646">
        <v>7.2</v>
      </c>
      <c r="V7" s="647">
        <v>3.61</v>
      </c>
      <c r="W7" s="646">
        <v>21.6</v>
      </c>
      <c r="X7" s="647">
        <v>10.8</v>
      </c>
      <c r="Y7" s="646">
        <v>236.18</v>
      </c>
      <c r="Z7" s="647"/>
      <c r="AA7" s="646"/>
      <c r="AB7" s="647"/>
      <c r="AC7" s="646"/>
      <c r="AD7" s="647"/>
    </row>
    <row r="8" spans="1:30" x14ac:dyDescent="0.2">
      <c r="A8" s="268" t="s">
        <v>257</v>
      </c>
      <c r="B8" s="1134"/>
      <c r="C8" s="648">
        <v>17.489999999999998</v>
      </c>
      <c r="D8" s="649">
        <v>9.7200000000000006</v>
      </c>
      <c r="E8" s="648"/>
      <c r="F8" s="649"/>
      <c r="G8" s="648">
        <v>7.42</v>
      </c>
      <c r="H8" s="649">
        <v>3.72</v>
      </c>
      <c r="I8" s="648">
        <v>11.31</v>
      </c>
      <c r="J8" s="649">
        <v>5.66</v>
      </c>
      <c r="K8" s="648">
        <v>23.01</v>
      </c>
      <c r="L8" s="649">
        <v>11.51</v>
      </c>
      <c r="M8" s="648">
        <v>25.71</v>
      </c>
      <c r="N8" s="649">
        <v>12.85</v>
      </c>
      <c r="O8" s="648">
        <v>45.4</v>
      </c>
      <c r="P8" s="649">
        <v>12.85</v>
      </c>
      <c r="Q8" s="648">
        <v>7.2</v>
      </c>
      <c r="R8" s="649">
        <v>4.54</v>
      </c>
      <c r="S8" s="648">
        <v>9.08</v>
      </c>
      <c r="T8" s="649">
        <v>4.54</v>
      </c>
      <c r="U8" s="648">
        <v>4.54</v>
      </c>
      <c r="V8" s="649">
        <v>2.27</v>
      </c>
      <c r="W8" s="648">
        <v>13.63</v>
      </c>
      <c r="X8" s="649">
        <v>6.81</v>
      </c>
      <c r="Y8" s="648">
        <v>197.13</v>
      </c>
      <c r="Z8" s="649"/>
      <c r="AA8" s="648"/>
      <c r="AB8" s="649"/>
      <c r="AC8" s="648"/>
      <c r="AD8" s="649"/>
    </row>
    <row r="9" spans="1:30" x14ac:dyDescent="0.2">
      <c r="A9" s="268" t="s">
        <v>85</v>
      </c>
      <c r="B9" s="1135"/>
      <c r="C9" s="648"/>
      <c r="D9" s="649"/>
      <c r="E9" s="648"/>
      <c r="F9" s="649"/>
      <c r="G9" s="648">
        <v>3.57</v>
      </c>
      <c r="H9" s="649">
        <v>1.79</v>
      </c>
      <c r="I9" s="648">
        <v>3.84</v>
      </c>
      <c r="J9" s="649">
        <v>1.92</v>
      </c>
      <c r="K9" s="648"/>
      <c r="L9" s="649"/>
      <c r="M9" s="648"/>
      <c r="N9" s="649"/>
      <c r="O9" s="648"/>
      <c r="P9" s="649"/>
      <c r="Q9" s="648"/>
      <c r="R9" s="649"/>
      <c r="S9" s="648"/>
      <c r="T9" s="649"/>
      <c r="U9" s="648"/>
      <c r="V9" s="649"/>
      <c r="W9" s="648"/>
      <c r="X9" s="649"/>
      <c r="Y9" s="648"/>
      <c r="Z9" s="649"/>
      <c r="AA9" s="648"/>
      <c r="AB9" s="649"/>
      <c r="AC9" s="648"/>
      <c r="AD9" s="649"/>
    </row>
    <row r="10" spans="1:30" x14ac:dyDescent="0.2">
      <c r="A10" s="268" t="s">
        <v>256</v>
      </c>
      <c r="B10" s="1133" t="str">
        <f>IF(Zona3&lt;&gt;"",Zona3,"")</f>
        <v>C</v>
      </c>
      <c r="C10" s="646">
        <v>12.26</v>
      </c>
      <c r="D10" s="647">
        <v>4.91</v>
      </c>
      <c r="E10" s="646"/>
      <c r="F10" s="647"/>
      <c r="G10" s="646">
        <v>17.41</v>
      </c>
      <c r="H10" s="647">
        <v>8.6999999999999993</v>
      </c>
      <c r="I10" s="646">
        <v>18.75</v>
      </c>
      <c r="J10" s="647">
        <v>9.3800000000000008</v>
      </c>
      <c r="K10" s="646">
        <v>27.55</v>
      </c>
      <c r="L10" s="647">
        <v>13.79</v>
      </c>
      <c r="M10" s="646">
        <v>27.55</v>
      </c>
      <c r="N10" s="647">
        <v>13.79</v>
      </c>
      <c r="O10" s="646">
        <v>71.98</v>
      </c>
      <c r="P10" s="647">
        <v>13.79</v>
      </c>
      <c r="Q10" s="646">
        <v>14.4</v>
      </c>
      <c r="R10" s="647">
        <v>9.08</v>
      </c>
      <c r="S10" s="646">
        <v>14.4</v>
      </c>
      <c r="T10" s="647">
        <v>7.2</v>
      </c>
      <c r="U10" s="646">
        <v>7.2</v>
      </c>
      <c r="V10" s="647">
        <v>3.61</v>
      </c>
      <c r="W10" s="646">
        <v>21.6</v>
      </c>
      <c r="X10" s="647">
        <v>10.8</v>
      </c>
      <c r="Y10" s="646">
        <v>236.18</v>
      </c>
      <c r="Z10" s="647"/>
      <c r="AA10" s="646"/>
      <c r="AB10" s="647"/>
      <c r="AC10" s="646"/>
      <c r="AD10" s="647"/>
    </row>
    <row r="11" spans="1:30" x14ac:dyDescent="0.2">
      <c r="A11" s="268" t="s">
        <v>257</v>
      </c>
      <c r="B11" s="1134"/>
      <c r="C11" s="648">
        <v>17.489999999999998</v>
      </c>
      <c r="D11" s="649">
        <v>9.7200000000000006</v>
      </c>
      <c r="E11" s="648"/>
      <c r="F11" s="649"/>
      <c r="G11" s="648">
        <v>7.42</v>
      </c>
      <c r="H11" s="649">
        <v>3.72</v>
      </c>
      <c r="I11" s="648">
        <v>11.31</v>
      </c>
      <c r="J11" s="649">
        <v>5.66</v>
      </c>
      <c r="K11" s="648">
        <v>23.01</v>
      </c>
      <c r="L11" s="649">
        <v>11.51</v>
      </c>
      <c r="M11" s="648">
        <v>25.71</v>
      </c>
      <c r="N11" s="649">
        <v>12.85</v>
      </c>
      <c r="O11" s="648">
        <v>45.4</v>
      </c>
      <c r="P11" s="649">
        <v>12.85</v>
      </c>
      <c r="Q11" s="648">
        <v>7.2</v>
      </c>
      <c r="R11" s="649">
        <v>4.54</v>
      </c>
      <c r="S11" s="648">
        <v>9.08</v>
      </c>
      <c r="T11" s="649">
        <v>4.54</v>
      </c>
      <c r="U11" s="648">
        <v>4.54</v>
      </c>
      <c r="V11" s="649">
        <v>2.27</v>
      </c>
      <c r="W11" s="648">
        <v>13.63</v>
      </c>
      <c r="X11" s="649">
        <v>6.81</v>
      </c>
      <c r="Y11" s="648">
        <v>197.13</v>
      </c>
      <c r="Z11" s="649"/>
      <c r="AA11" s="648"/>
      <c r="AB11" s="649"/>
      <c r="AC11" s="648"/>
      <c r="AD11" s="649"/>
    </row>
    <row r="12" spans="1:30" x14ac:dyDescent="0.2">
      <c r="A12" s="268" t="s">
        <v>85</v>
      </c>
      <c r="B12" s="1135"/>
      <c r="C12" s="648"/>
      <c r="D12" s="649"/>
      <c r="E12" s="648"/>
      <c r="F12" s="649"/>
      <c r="G12" s="648">
        <v>3.57</v>
      </c>
      <c r="H12" s="649">
        <v>1.79</v>
      </c>
      <c r="I12" s="648">
        <v>3.84</v>
      </c>
      <c r="J12" s="649">
        <v>1.92</v>
      </c>
      <c r="K12" s="648"/>
      <c r="L12" s="649"/>
      <c r="M12" s="648"/>
      <c r="N12" s="649"/>
      <c r="O12" s="648"/>
      <c r="P12" s="649"/>
      <c r="Q12" s="648"/>
      <c r="R12" s="649"/>
      <c r="S12" s="648"/>
      <c r="T12" s="649"/>
      <c r="U12" s="648"/>
      <c r="V12" s="649"/>
      <c r="W12" s="648"/>
      <c r="X12" s="649"/>
      <c r="Y12" s="648"/>
      <c r="Z12" s="649"/>
      <c r="AA12" s="648"/>
      <c r="AB12" s="649"/>
      <c r="AC12" s="648"/>
      <c r="AD12" s="649"/>
    </row>
    <row r="13" spans="1:30" x14ac:dyDescent="0.2">
      <c r="A13" s="268" t="s">
        <v>256</v>
      </c>
      <c r="B13" s="1133" t="str">
        <f>IF(Zona4&lt;&gt;"",Zona4,"")</f>
        <v>D</v>
      </c>
      <c r="C13" s="646">
        <v>12.26</v>
      </c>
      <c r="D13" s="647">
        <v>4.91</v>
      </c>
      <c r="E13" s="646"/>
      <c r="F13" s="647"/>
      <c r="G13" s="646">
        <v>17.41</v>
      </c>
      <c r="H13" s="647">
        <v>8.6999999999999993</v>
      </c>
      <c r="I13" s="646">
        <v>18.75</v>
      </c>
      <c r="J13" s="647">
        <v>9.3800000000000008</v>
      </c>
      <c r="K13" s="646">
        <v>27.55</v>
      </c>
      <c r="L13" s="647">
        <v>13.79</v>
      </c>
      <c r="M13" s="646">
        <v>27.55</v>
      </c>
      <c r="N13" s="647">
        <v>13.79</v>
      </c>
      <c r="O13" s="646">
        <v>71.98</v>
      </c>
      <c r="P13" s="647">
        <v>13.79</v>
      </c>
      <c r="Q13" s="646">
        <v>14.4</v>
      </c>
      <c r="R13" s="647">
        <v>9.08</v>
      </c>
      <c r="S13" s="646">
        <v>14.4</v>
      </c>
      <c r="T13" s="647">
        <v>7.2</v>
      </c>
      <c r="U13" s="646">
        <v>7.2</v>
      </c>
      <c r="V13" s="647">
        <v>3.61</v>
      </c>
      <c r="W13" s="646">
        <v>21.6</v>
      </c>
      <c r="X13" s="647">
        <v>10.8</v>
      </c>
      <c r="Y13" s="646">
        <v>236.18</v>
      </c>
      <c r="Z13" s="647"/>
      <c r="AA13" s="646"/>
      <c r="AB13" s="647"/>
      <c r="AC13" s="646"/>
      <c r="AD13" s="647"/>
    </row>
    <row r="14" spans="1:30" x14ac:dyDescent="0.2">
      <c r="A14" s="268" t="s">
        <v>257</v>
      </c>
      <c r="B14" s="1134"/>
      <c r="C14" s="648">
        <v>17.489999999999998</v>
      </c>
      <c r="D14" s="649">
        <v>9.7200000000000006</v>
      </c>
      <c r="E14" s="648"/>
      <c r="F14" s="649"/>
      <c r="G14" s="648">
        <v>7.42</v>
      </c>
      <c r="H14" s="649">
        <v>3.72</v>
      </c>
      <c r="I14" s="648">
        <v>11.31</v>
      </c>
      <c r="J14" s="649">
        <v>5.66</v>
      </c>
      <c r="K14" s="648">
        <v>23.01</v>
      </c>
      <c r="L14" s="649">
        <v>11.51</v>
      </c>
      <c r="M14" s="648">
        <v>25.71</v>
      </c>
      <c r="N14" s="649">
        <v>12.85</v>
      </c>
      <c r="O14" s="648">
        <v>45.4</v>
      </c>
      <c r="P14" s="649">
        <v>12.85</v>
      </c>
      <c r="Q14" s="648">
        <v>7.2</v>
      </c>
      <c r="R14" s="649">
        <v>4.54</v>
      </c>
      <c r="S14" s="648">
        <v>9.08</v>
      </c>
      <c r="T14" s="649">
        <v>4.54</v>
      </c>
      <c r="U14" s="648">
        <v>4.54</v>
      </c>
      <c r="V14" s="649">
        <v>2.27</v>
      </c>
      <c r="W14" s="648">
        <v>13.63</v>
      </c>
      <c r="X14" s="649">
        <v>6.81</v>
      </c>
      <c r="Y14" s="648">
        <v>197.13</v>
      </c>
      <c r="Z14" s="649"/>
      <c r="AA14" s="648"/>
      <c r="AB14" s="649"/>
      <c r="AC14" s="648"/>
      <c r="AD14" s="649"/>
    </row>
    <row r="15" spans="1:30" x14ac:dyDescent="0.2">
      <c r="A15" s="268" t="s">
        <v>85</v>
      </c>
      <c r="B15" s="1135"/>
      <c r="C15" s="648"/>
      <c r="D15" s="649"/>
      <c r="E15" s="648"/>
      <c r="F15" s="649"/>
      <c r="G15" s="648">
        <v>3.57</v>
      </c>
      <c r="H15" s="649">
        <v>1.79</v>
      </c>
      <c r="I15" s="648">
        <v>3.84</v>
      </c>
      <c r="J15" s="649">
        <v>1.92</v>
      </c>
      <c r="K15" s="648"/>
      <c r="L15" s="649"/>
      <c r="M15" s="648"/>
      <c r="N15" s="649"/>
      <c r="O15" s="648"/>
      <c r="P15" s="649"/>
      <c r="Q15" s="648"/>
      <c r="R15" s="649"/>
      <c r="S15" s="648"/>
      <c r="T15" s="649"/>
      <c r="U15" s="648"/>
      <c r="V15" s="649"/>
      <c r="W15" s="648"/>
      <c r="X15" s="649"/>
      <c r="Y15" s="648"/>
      <c r="Z15" s="649"/>
      <c r="AA15" s="648"/>
      <c r="AB15" s="649"/>
      <c r="AC15" s="648"/>
      <c r="AD15" s="649"/>
    </row>
    <row r="16" spans="1:30" x14ac:dyDescent="0.2">
      <c r="A16" s="268" t="s">
        <v>256</v>
      </c>
      <c r="B16" s="1133" t="str">
        <f>IF(Zona5&lt;&gt;"",Zona5,"")</f>
        <v>E</v>
      </c>
      <c r="C16" s="646">
        <v>12.26</v>
      </c>
      <c r="D16" s="647">
        <v>4.91</v>
      </c>
      <c r="E16" s="646"/>
      <c r="F16" s="647"/>
      <c r="G16" s="646">
        <v>17.41</v>
      </c>
      <c r="H16" s="647">
        <v>8.6999999999999993</v>
      </c>
      <c r="I16" s="646">
        <v>18.75</v>
      </c>
      <c r="J16" s="647">
        <v>9.3800000000000008</v>
      </c>
      <c r="K16" s="646">
        <v>27.55</v>
      </c>
      <c r="L16" s="647">
        <v>13.79</v>
      </c>
      <c r="M16" s="646">
        <v>27.55</v>
      </c>
      <c r="N16" s="647">
        <v>13.79</v>
      </c>
      <c r="O16" s="646">
        <v>71.98</v>
      </c>
      <c r="P16" s="647">
        <v>13.79</v>
      </c>
      <c r="Q16" s="646">
        <v>14.4</v>
      </c>
      <c r="R16" s="647">
        <v>9.08</v>
      </c>
      <c r="S16" s="646">
        <v>14.4</v>
      </c>
      <c r="T16" s="647">
        <v>7.2</v>
      </c>
      <c r="U16" s="646">
        <v>7.2</v>
      </c>
      <c r="V16" s="647">
        <v>3.61</v>
      </c>
      <c r="W16" s="646">
        <v>21.6</v>
      </c>
      <c r="X16" s="647">
        <v>10.8</v>
      </c>
      <c r="Y16" s="646">
        <v>236.18</v>
      </c>
      <c r="Z16" s="647"/>
      <c r="AA16" s="646"/>
      <c r="AB16" s="647"/>
      <c r="AC16" s="646"/>
      <c r="AD16" s="647"/>
    </row>
    <row r="17" spans="1:30" x14ac:dyDescent="0.2">
      <c r="A17" s="268" t="s">
        <v>257</v>
      </c>
      <c r="B17" s="1134"/>
      <c r="C17" s="648">
        <v>17.489999999999998</v>
      </c>
      <c r="D17" s="649">
        <v>9.7200000000000006</v>
      </c>
      <c r="E17" s="648"/>
      <c r="F17" s="649"/>
      <c r="G17" s="648">
        <v>7.42</v>
      </c>
      <c r="H17" s="649">
        <v>3.72</v>
      </c>
      <c r="I17" s="648">
        <v>11.31</v>
      </c>
      <c r="J17" s="649">
        <v>5.66</v>
      </c>
      <c r="K17" s="648">
        <v>23.01</v>
      </c>
      <c r="L17" s="649">
        <v>11.51</v>
      </c>
      <c r="M17" s="648">
        <v>25.71</v>
      </c>
      <c r="N17" s="649">
        <v>12.85</v>
      </c>
      <c r="O17" s="648">
        <v>45.4</v>
      </c>
      <c r="P17" s="649">
        <v>12.85</v>
      </c>
      <c r="Q17" s="648">
        <v>7.2</v>
      </c>
      <c r="R17" s="649">
        <v>4.54</v>
      </c>
      <c r="S17" s="648">
        <v>9.08</v>
      </c>
      <c r="T17" s="649">
        <v>4.54</v>
      </c>
      <c r="U17" s="648">
        <v>4.54</v>
      </c>
      <c r="V17" s="649">
        <v>2.27</v>
      </c>
      <c r="W17" s="648">
        <v>13.63</v>
      </c>
      <c r="X17" s="649">
        <v>6.81</v>
      </c>
      <c r="Y17" s="648">
        <v>197.13</v>
      </c>
      <c r="Z17" s="649"/>
      <c r="AA17" s="648"/>
      <c r="AB17" s="649"/>
      <c r="AC17" s="648"/>
      <c r="AD17" s="649"/>
    </row>
    <row r="18" spans="1:30" x14ac:dyDescent="0.2">
      <c r="A18" s="268" t="s">
        <v>85</v>
      </c>
      <c r="B18" s="1135"/>
      <c r="C18" s="650"/>
      <c r="D18" s="651"/>
      <c r="E18" s="650"/>
      <c r="F18" s="651"/>
      <c r="G18" s="650">
        <v>3.57</v>
      </c>
      <c r="H18" s="651">
        <v>1.79</v>
      </c>
      <c r="I18" s="650">
        <v>3.84</v>
      </c>
      <c r="J18" s="651">
        <v>1.92</v>
      </c>
      <c r="K18" s="650"/>
      <c r="L18" s="651"/>
      <c r="M18" s="650"/>
      <c r="N18" s="651"/>
      <c r="O18" s="650"/>
      <c r="P18" s="651"/>
      <c r="Q18" s="650"/>
      <c r="R18" s="651"/>
      <c r="S18" s="650"/>
      <c r="T18" s="651"/>
      <c r="U18" s="650"/>
      <c r="V18" s="651"/>
      <c r="W18" s="650"/>
      <c r="X18" s="651"/>
      <c r="Y18" s="650"/>
      <c r="Z18" s="651"/>
      <c r="AA18" s="650"/>
      <c r="AB18" s="651"/>
      <c r="AC18" s="650"/>
      <c r="AD18" s="651"/>
    </row>
    <row r="19" spans="1:30" hidden="1" x14ac:dyDescent="0.2">
      <c r="A19" s="268" t="s">
        <v>256</v>
      </c>
      <c r="B19" s="1133" t="str">
        <f>IF(Zona6&lt;&gt;"",Zona6,"")</f>
        <v/>
      </c>
      <c r="C19" s="646"/>
      <c r="D19" s="647"/>
      <c r="E19" s="646"/>
      <c r="F19" s="647"/>
      <c r="G19" s="646"/>
      <c r="H19" s="647"/>
      <c r="I19" s="646"/>
      <c r="J19" s="647"/>
      <c r="K19" s="646"/>
      <c r="L19" s="647"/>
      <c r="M19" s="646"/>
      <c r="N19" s="647"/>
      <c r="O19" s="646"/>
      <c r="P19" s="647"/>
      <c r="Q19" s="646"/>
      <c r="R19" s="647"/>
      <c r="S19" s="646"/>
      <c r="T19" s="647"/>
      <c r="U19" s="646"/>
      <c r="V19" s="647"/>
      <c r="W19" s="646"/>
      <c r="X19" s="647"/>
      <c r="Y19" s="646"/>
      <c r="Z19" s="647"/>
      <c r="AA19" s="646"/>
      <c r="AB19" s="647"/>
      <c r="AC19" s="646"/>
      <c r="AD19" s="647"/>
    </row>
    <row r="20" spans="1:30" hidden="1" x14ac:dyDescent="0.2">
      <c r="A20" s="268" t="s">
        <v>257</v>
      </c>
      <c r="B20" s="1134"/>
      <c r="C20" s="648"/>
      <c r="D20" s="649"/>
      <c r="E20" s="648"/>
      <c r="F20" s="649"/>
      <c r="G20" s="648"/>
      <c r="H20" s="649"/>
      <c r="I20" s="648"/>
      <c r="J20" s="649"/>
      <c r="K20" s="648"/>
      <c r="L20" s="649"/>
      <c r="M20" s="648"/>
      <c r="N20" s="649"/>
      <c r="O20" s="648"/>
      <c r="P20" s="649"/>
      <c r="Q20" s="648"/>
      <c r="R20" s="649"/>
      <c r="S20" s="648"/>
      <c r="T20" s="649"/>
      <c r="U20" s="648"/>
      <c r="V20" s="649"/>
      <c r="W20" s="648"/>
      <c r="X20" s="649"/>
      <c r="Y20" s="648"/>
      <c r="Z20" s="649"/>
      <c r="AA20" s="648"/>
      <c r="AB20" s="649"/>
      <c r="AC20" s="648"/>
      <c r="AD20" s="649"/>
    </row>
    <row r="21" spans="1:30" ht="12" hidden="1" customHeight="1" x14ac:dyDescent="0.2">
      <c r="A21" s="268" t="s">
        <v>85</v>
      </c>
      <c r="B21" s="1135"/>
      <c r="C21" s="650"/>
      <c r="D21" s="651"/>
      <c r="E21" s="650"/>
      <c r="F21" s="651"/>
      <c r="G21" s="650"/>
      <c r="H21" s="651"/>
      <c r="I21" s="650"/>
      <c r="J21" s="651"/>
      <c r="K21" s="650"/>
      <c r="L21" s="651"/>
      <c r="M21" s="650"/>
      <c r="N21" s="651"/>
      <c r="O21" s="650"/>
      <c r="P21" s="651"/>
      <c r="Q21" s="650"/>
      <c r="R21" s="651"/>
      <c r="S21" s="650"/>
      <c r="T21" s="651"/>
      <c r="U21" s="650"/>
      <c r="V21" s="651"/>
      <c r="W21" s="650"/>
      <c r="X21" s="651"/>
      <c r="Y21" s="650"/>
      <c r="Z21" s="651"/>
      <c r="AA21" s="650"/>
      <c r="AB21" s="651"/>
      <c r="AC21" s="650"/>
      <c r="AD21" s="651"/>
    </row>
    <row r="22" spans="1:30" hidden="1" x14ac:dyDescent="0.2">
      <c r="A22" s="268" t="s">
        <v>256</v>
      </c>
      <c r="B22" s="1133" t="str">
        <f>IF(Zona7&lt;&gt;"",Zona7,"")</f>
        <v/>
      </c>
      <c r="C22" s="648"/>
      <c r="D22" s="649"/>
      <c r="E22" s="648"/>
      <c r="F22" s="649"/>
      <c r="G22" s="648"/>
      <c r="H22" s="649"/>
      <c r="I22" s="648"/>
      <c r="J22" s="649"/>
      <c r="K22" s="648"/>
      <c r="L22" s="649"/>
      <c r="M22" s="648"/>
      <c r="N22" s="714"/>
      <c r="O22" s="648"/>
      <c r="P22" s="714"/>
      <c r="Q22" s="648"/>
      <c r="R22" s="714"/>
      <c r="S22" s="648"/>
      <c r="T22" s="649"/>
      <c r="U22" s="648"/>
      <c r="V22" s="649"/>
      <c r="W22" s="648"/>
      <c r="X22" s="649"/>
      <c r="Y22" s="648"/>
      <c r="Z22" s="649"/>
      <c r="AA22" s="714"/>
      <c r="AB22" s="714"/>
      <c r="AC22" s="714"/>
      <c r="AD22" s="714"/>
    </row>
    <row r="23" spans="1:30" hidden="1" x14ac:dyDescent="0.2">
      <c r="A23" s="268" t="s">
        <v>257</v>
      </c>
      <c r="B23" s="1134"/>
      <c r="C23" s="648"/>
      <c r="D23" s="649"/>
      <c r="E23" s="648"/>
      <c r="F23" s="649"/>
      <c r="G23" s="648"/>
      <c r="H23" s="649"/>
      <c r="I23" s="648"/>
      <c r="J23" s="649"/>
      <c r="K23" s="648"/>
      <c r="L23" s="649"/>
      <c r="M23" s="648"/>
      <c r="N23" s="714"/>
      <c r="O23" s="648"/>
      <c r="P23" s="714"/>
      <c r="Q23" s="648"/>
      <c r="R23" s="714"/>
      <c r="S23" s="648"/>
      <c r="T23" s="649"/>
      <c r="U23" s="648"/>
      <c r="V23" s="649"/>
      <c r="W23" s="648"/>
      <c r="X23" s="649"/>
      <c r="Y23" s="648"/>
      <c r="Z23" s="649"/>
      <c r="AA23" s="714"/>
      <c r="AB23" s="714"/>
      <c r="AC23" s="714"/>
      <c r="AD23" s="714"/>
    </row>
    <row r="24" spans="1:30" hidden="1" x14ac:dyDescent="0.2">
      <c r="A24" s="268" t="s">
        <v>85</v>
      </c>
      <c r="B24" s="1135"/>
      <c r="C24" s="650"/>
      <c r="D24" s="651"/>
      <c r="E24" s="650"/>
      <c r="F24" s="651"/>
      <c r="G24" s="650"/>
      <c r="H24" s="651"/>
      <c r="I24" s="650"/>
      <c r="J24" s="651"/>
      <c r="K24" s="650"/>
      <c r="L24" s="651"/>
      <c r="M24" s="650"/>
      <c r="N24" s="715"/>
      <c r="O24" s="650"/>
      <c r="P24" s="715"/>
      <c r="Q24" s="650"/>
      <c r="R24" s="715"/>
      <c r="S24" s="650"/>
      <c r="T24" s="651"/>
      <c r="U24" s="650"/>
      <c r="V24" s="651"/>
      <c r="W24" s="650"/>
      <c r="X24" s="651"/>
      <c r="Y24" s="650"/>
      <c r="Z24" s="651"/>
      <c r="AA24" s="714"/>
      <c r="AB24" s="714"/>
      <c r="AC24" s="714"/>
      <c r="AD24" s="714"/>
    </row>
    <row r="25" spans="1:30" hidden="1" x14ac:dyDescent="0.2">
      <c r="A25" s="268" t="s">
        <v>256</v>
      </c>
      <c r="B25" s="1133" t="str">
        <f>IF(Zona8&lt;&gt;"",Zona8,"")</f>
        <v/>
      </c>
      <c r="C25" s="646"/>
      <c r="D25" s="649"/>
      <c r="E25" s="646"/>
      <c r="F25" s="647"/>
      <c r="G25" s="646"/>
      <c r="H25" s="647"/>
      <c r="I25" s="713"/>
      <c r="J25" s="647"/>
      <c r="K25" s="646"/>
      <c r="L25" s="647"/>
      <c r="M25" s="646"/>
      <c r="N25" s="713"/>
      <c r="O25" s="646"/>
      <c r="P25" s="713"/>
      <c r="Q25" s="646"/>
      <c r="R25" s="713"/>
      <c r="S25" s="646"/>
      <c r="T25" s="647"/>
      <c r="U25" s="646"/>
      <c r="V25" s="647"/>
      <c r="W25" s="646"/>
      <c r="X25" s="647"/>
      <c r="Y25" s="646"/>
      <c r="Z25" s="647"/>
      <c r="AA25" s="714"/>
      <c r="AB25" s="714"/>
      <c r="AC25" s="714"/>
      <c r="AD25" s="714"/>
    </row>
    <row r="26" spans="1:30" hidden="1" x14ac:dyDescent="0.2">
      <c r="A26" s="268" t="s">
        <v>257</v>
      </c>
      <c r="B26" s="1134"/>
      <c r="C26" s="648"/>
      <c r="D26" s="649"/>
      <c r="E26" s="648"/>
      <c r="F26" s="649"/>
      <c r="G26" s="648"/>
      <c r="H26" s="649"/>
      <c r="I26" s="648"/>
      <c r="J26" s="649"/>
      <c r="K26" s="648"/>
      <c r="L26" s="649"/>
      <c r="M26" s="648"/>
      <c r="N26" s="714"/>
      <c r="O26" s="648"/>
      <c r="P26" s="714"/>
      <c r="Q26" s="648"/>
      <c r="R26" s="714"/>
      <c r="S26" s="648"/>
      <c r="T26" s="649"/>
      <c r="U26" s="648"/>
      <c r="V26" s="649"/>
      <c r="W26" s="648"/>
      <c r="X26" s="649"/>
      <c r="Y26" s="648"/>
      <c r="Z26" s="649"/>
      <c r="AA26" s="714"/>
      <c r="AB26" s="714"/>
      <c r="AC26" s="714"/>
      <c r="AD26" s="714"/>
    </row>
    <row r="27" spans="1:30" hidden="1" x14ac:dyDescent="0.2">
      <c r="A27" s="268" t="s">
        <v>85</v>
      </c>
      <c r="B27" s="1135"/>
      <c r="C27" s="648"/>
      <c r="D27" s="651"/>
      <c r="E27" s="648"/>
      <c r="F27" s="649"/>
      <c r="G27" s="648"/>
      <c r="H27" s="649"/>
      <c r="I27" s="650"/>
      <c r="J27" s="651"/>
      <c r="K27" s="648"/>
      <c r="L27" s="649"/>
      <c r="M27" s="648"/>
      <c r="N27" s="714"/>
      <c r="O27" s="648"/>
      <c r="P27" s="714"/>
      <c r="Q27" s="648"/>
      <c r="R27" s="714"/>
      <c r="S27" s="648"/>
      <c r="T27" s="649"/>
      <c r="U27" s="648"/>
      <c r="V27" s="649"/>
      <c r="W27" s="648"/>
      <c r="X27" s="649"/>
      <c r="Y27" s="648"/>
      <c r="Z27" s="649"/>
      <c r="AA27" s="714"/>
      <c r="AB27" s="714"/>
      <c r="AC27" s="714"/>
      <c r="AD27" s="714"/>
    </row>
    <row r="28" spans="1:30" hidden="1" x14ac:dyDescent="0.2">
      <c r="A28" s="268" t="s">
        <v>256</v>
      </c>
      <c r="B28" s="1133" t="str">
        <f>IF(Zona9&lt;&gt;"",Zona9,"")</f>
        <v/>
      </c>
      <c r="C28" s="646"/>
      <c r="D28" s="649"/>
      <c r="E28" s="646"/>
      <c r="F28" s="647"/>
      <c r="G28" s="646"/>
      <c r="H28" s="647"/>
      <c r="I28" s="646"/>
      <c r="J28" s="647"/>
      <c r="K28" s="646"/>
      <c r="L28" s="647"/>
      <c r="M28" s="646"/>
      <c r="N28" s="713"/>
      <c r="O28" s="646"/>
      <c r="P28" s="713"/>
      <c r="Q28" s="646"/>
      <c r="R28" s="713"/>
      <c r="S28" s="646"/>
      <c r="T28" s="647"/>
      <c r="U28" s="646"/>
      <c r="V28" s="647"/>
      <c r="W28" s="646"/>
      <c r="X28" s="647"/>
      <c r="Y28" s="646"/>
      <c r="Z28" s="647"/>
      <c r="AA28" s="714"/>
      <c r="AB28" s="714"/>
      <c r="AC28" s="714"/>
      <c r="AD28" s="714"/>
    </row>
    <row r="29" spans="1:30" hidden="1" x14ac:dyDescent="0.2">
      <c r="A29" s="268" t="s">
        <v>257</v>
      </c>
      <c r="B29" s="1134"/>
      <c r="C29" s="648"/>
      <c r="D29" s="649"/>
      <c r="E29" s="648"/>
      <c r="F29" s="649"/>
      <c r="G29" s="648"/>
      <c r="H29" s="649"/>
      <c r="I29" s="648"/>
      <c r="J29" s="649"/>
      <c r="K29" s="648"/>
      <c r="L29" s="649"/>
      <c r="M29" s="648"/>
      <c r="N29" s="714"/>
      <c r="O29" s="648"/>
      <c r="P29" s="714"/>
      <c r="Q29" s="648"/>
      <c r="R29" s="714"/>
      <c r="S29" s="648"/>
      <c r="T29" s="649"/>
      <c r="U29" s="648"/>
      <c r="V29" s="649"/>
      <c r="W29" s="648"/>
      <c r="X29" s="649"/>
      <c r="Y29" s="648"/>
      <c r="Z29" s="649"/>
      <c r="AA29" s="714"/>
      <c r="AB29" s="714"/>
      <c r="AC29" s="714"/>
      <c r="AD29" s="714"/>
    </row>
    <row r="30" spans="1:30" hidden="1" x14ac:dyDescent="0.2">
      <c r="A30" s="268" t="s">
        <v>85</v>
      </c>
      <c r="B30" s="1135"/>
      <c r="C30" s="648"/>
      <c r="D30" s="651"/>
      <c r="E30" s="648"/>
      <c r="F30" s="649"/>
      <c r="G30" s="648"/>
      <c r="H30" s="649"/>
      <c r="I30" s="648"/>
      <c r="J30" s="649"/>
      <c r="K30" s="648"/>
      <c r="L30" s="649"/>
      <c r="M30" s="648"/>
      <c r="N30" s="714"/>
      <c r="O30" s="648"/>
      <c r="P30" s="714"/>
      <c r="Q30" s="648"/>
      <c r="R30" s="714"/>
      <c r="S30" s="648"/>
      <c r="T30" s="649"/>
      <c r="U30" s="648"/>
      <c r="V30" s="649"/>
      <c r="W30" s="648"/>
      <c r="X30" s="649"/>
      <c r="Y30" s="648"/>
      <c r="Z30" s="649"/>
      <c r="AA30" s="714"/>
      <c r="AB30" s="714"/>
      <c r="AC30" s="714"/>
      <c r="AD30" s="714"/>
    </row>
    <row r="31" spans="1:30" hidden="1" x14ac:dyDescent="0.2">
      <c r="A31" s="268" t="s">
        <v>256</v>
      </c>
      <c r="B31" s="1133" t="str">
        <f>IF(Zona10&lt;&gt;"",Zona10,"")</f>
        <v/>
      </c>
      <c r="C31" s="646"/>
      <c r="D31" s="649"/>
      <c r="E31" s="646"/>
      <c r="F31" s="647"/>
      <c r="G31" s="646"/>
      <c r="H31" s="647"/>
      <c r="I31" s="646"/>
      <c r="J31" s="647"/>
      <c r="K31" s="646"/>
      <c r="L31" s="647"/>
      <c r="M31" s="646"/>
      <c r="N31" s="713"/>
      <c r="O31" s="646"/>
      <c r="P31" s="713"/>
      <c r="Q31" s="646"/>
      <c r="R31" s="713"/>
      <c r="S31" s="646"/>
      <c r="T31" s="647"/>
      <c r="U31" s="646"/>
      <c r="V31" s="647"/>
      <c r="W31" s="646"/>
      <c r="X31" s="647"/>
      <c r="Y31" s="646"/>
      <c r="Z31" s="647"/>
      <c r="AA31" s="714"/>
      <c r="AB31" s="714"/>
      <c r="AC31" s="714"/>
      <c r="AD31" s="714"/>
    </row>
    <row r="32" spans="1:30" hidden="1" x14ac:dyDescent="0.2">
      <c r="A32" s="268" t="s">
        <v>257</v>
      </c>
      <c r="B32" s="1134"/>
      <c r="C32" s="648"/>
      <c r="D32" s="649"/>
      <c r="E32" s="648"/>
      <c r="F32" s="649"/>
      <c r="G32" s="648"/>
      <c r="H32" s="649"/>
      <c r="I32" s="648"/>
      <c r="J32" s="649"/>
      <c r="K32" s="648"/>
      <c r="L32" s="649"/>
      <c r="M32" s="648"/>
      <c r="N32" s="714"/>
      <c r="O32" s="648"/>
      <c r="P32" s="714"/>
      <c r="Q32" s="648"/>
      <c r="R32" s="714"/>
      <c r="S32" s="648"/>
      <c r="T32" s="649"/>
      <c r="U32" s="648"/>
      <c r="V32" s="649"/>
      <c r="W32" s="648"/>
      <c r="X32" s="649"/>
      <c r="Y32" s="648"/>
      <c r="Z32" s="649"/>
      <c r="AA32" s="714"/>
      <c r="AB32" s="714"/>
      <c r="AC32" s="714"/>
      <c r="AD32" s="714"/>
    </row>
    <row r="33" spans="1:30" hidden="1" x14ac:dyDescent="0.2">
      <c r="A33" s="268" t="s">
        <v>85</v>
      </c>
      <c r="B33" s="1135"/>
      <c r="C33" s="648"/>
      <c r="D33" s="651"/>
      <c r="E33" s="648"/>
      <c r="F33" s="649"/>
      <c r="G33" s="648"/>
      <c r="H33" s="649"/>
      <c r="I33" s="648"/>
      <c r="J33" s="649"/>
      <c r="K33" s="648"/>
      <c r="L33" s="649"/>
      <c r="M33" s="648"/>
      <c r="N33" s="714"/>
      <c r="O33" s="648"/>
      <c r="P33" s="714"/>
      <c r="Q33" s="648"/>
      <c r="R33" s="714"/>
      <c r="S33" s="648"/>
      <c r="T33" s="649"/>
      <c r="U33" s="648"/>
      <c r="V33" s="649"/>
      <c r="W33" s="648"/>
      <c r="X33" s="649"/>
      <c r="Y33" s="648"/>
      <c r="Z33" s="649"/>
      <c r="AA33" s="714"/>
      <c r="AB33" s="714"/>
      <c r="AC33" s="714"/>
      <c r="AD33" s="714"/>
    </row>
    <row r="34" spans="1:30" hidden="1" x14ac:dyDescent="0.2">
      <c r="A34" s="268" t="s">
        <v>256</v>
      </c>
      <c r="B34" s="1133" t="str">
        <f>IF(Zona11&lt;&gt;"",Zona11,"")</f>
        <v/>
      </c>
      <c r="C34" s="646"/>
      <c r="D34" s="649"/>
      <c r="E34" s="646"/>
      <c r="F34" s="647"/>
      <c r="G34" s="646"/>
      <c r="H34" s="647"/>
      <c r="I34" s="646"/>
      <c r="J34" s="647"/>
      <c r="K34" s="646"/>
      <c r="L34" s="647"/>
      <c r="M34" s="646"/>
      <c r="N34" s="713"/>
      <c r="O34" s="646"/>
      <c r="P34" s="713"/>
      <c r="Q34" s="646"/>
      <c r="R34" s="713"/>
      <c r="S34" s="646"/>
      <c r="T34" s="647"/>
      <c r="U34" s="646"/>
      <c r="V34" s="647"/>
      <c r="W34" s="646"/>
      <c r="X34" s="647"/>
      <c r="Y34" s="646"/>
      <c r="Z34" s="647"/>
      <c r="AA34" s="714"/>
      <c r="AB34" s="714"/>
      <c r="AC34" s="714"/>
      <c r="AD34" s="714"/>
    </row>
    <row r="35" spans="1:30" hidden="1" x14ac:dyDescent="0.2">
      <c r="A35" s="268" t="s">
        <v>257</v>
      </c>
      <c r="B35" s="1134"/>
      <c r="C35" s="648"/>
      <c r="D35" s="649"/>
      <c r="E35" s="648"/>
      <c r="F35" s="649"/>
      <c r="G35" s="648"/>
      <c r="H35" s="649"/>
      <c r="I35" s="648"/>
      <c r="J35" s="649"/>
      <c r="K35" s="648"/>
      <c r="L35" s="649"/>
      <c r="M35" s="648"/>
      <c r="N35" s="714"/>
      <c r="O35" s="648"/>
      <c r="P35" s="714"/>
      <c r="Q35" s="648"/>
      <c r="R35" s="714"/>
      <c r="S35" s="648"/>
      <c r="T35" s="649"/>
      <c r="U35" s="648"/>
      <c r="V35" s="649"/>
      <c r="W35" s="648"/>
      <c r="X35" s="649"/>
      <c r="Y35" s="648"/>
      <c r="Z35" s="649"/>
      <c r="AA35" s="714"/>
      <c r="AB35" s="714"/>
      <c r="AC35" s="714"/>
      <c r="AD35" s="714"/>
    </row>
    <row r="36" spans="1:30" hidden="1" x14ac:dyDescent="0.2">
      <c r="A36" s="268" t="s">
        <v>85</v>
      </c>
      <c r="B36" s="1135"/>
      <c r="C36" s="648"/>
      <c r="D36" s="651"/>
      <c r="E36" s="648"/>
      <c r="F36" s="649"/>
      <c r="G36" s="648"/>
      <c r="H36" s="649"/>
      <c r="I36" s="648"/>
      <c r="J36" s="649"/>
      <c r="K36" s="648"/>
      <c r="L36" s="649"/>
      <c r="M36" s="650"/>
      <c r="N36" s="715"/>
      <c r="O36" s="650"/>
      <c r="P36" s="715"/>
      <c r="Q36" s="650"/>
      <c r="R36" s="715"/>
      <c r="S36" s="650"/>
      <c r="T36" s="651"/>
      <c r="U36" s="650"/>
      <c r="V36" s="651"/>
      <c r="W36" s="650"/>
      <c r="X36" s="651"/>
      <c r="Y36" s="650"/>
      <c r="Z36" s="651"/>
      <c r="AA36" s="714"/>
      <c r="AB36" s="714"/>
      <c r="AC36" s="714"/>
      <c r="AD36" s="714"/>
    </row>
    <row r="37" spans="1:30" hidden="1" x14ac:dyDescent="0.2">
      <c r="A37" s="268" t="s">
        <v>256</v>
      </c>
      <c r="B37" s="1133" t="str">
        <f>IF(Zona12&lt;&gt;"",Zona12,"")</f>
        <v/>
      </c>
      <c r="C37" s="646"/>
      <c r="D37" s="649"/>
      <c r="E37" s="646"/>
      <c r="F37" s="647"/>
      <c r="G37" s="646"/>
      <c r="H37" s="647"/>
      <c r="I37" s="646"/>
      <c r="J37" s="647"/>
      <c r="K37" s="646"/>
      <c r="L37" s="647"/>
      <c r="M37" s="646"/>
      <c r="N37" s="713"/>
      <c r="O37" s="646"/>
      <c r="P37" s="713"/>
      <c r="Q37" s="646"/>
      <c r="R37" s="713"/>
      <c r="S37" s="646"/>
      <c r="T37" s="647"/>
      <c r="U37" s="646"/>
      <c r="V37" s="647"/>
      <c r="W37" s="646"/>
      <c r="X37" s="647"/>
      <c r="Y37" s="646"/>
      <c r="Z37" s="647"/>
      <c r="AA37" s="714"/>
      <c r="AB37" s="714"/>
      <c r="AC37" s="714"/>
      <c r="AD37" s="714"/>
    </row>
    <row r="38" spans="1:30" hidden="1" x14ac:dyDescent="0.2">
      <c r="A38" s="268" t="s">
        <v>257</v>
      </c>
      <c r="B38" s="1134"/>
      <c r="C38" s="648"/>
      <c r="D38" s="649"/>
      <c r="E38" s="648"/>
      <c r="F38" s="649"/>
      <c r="G38" s="648"/>
      <c r="H38" s="649"/>
      <c r="I38" s="648"/>
      <c r="J38" s="649"/>
      <c r="K38" s="648"/>
      <c r="L38" s="649"/>
      <c r="M38" s="648"/>
      <c r="N38" s="714"/>
      <c r="O38" s="648"/>
      <c r="P38" s="714"/>
      <c r="Q38" s="648"/>
      <c r="R38" s="714"/>
      <c r="S38" s="648"/>
      <c r="T38" s="649"/>
      <c r="U38" s="648"/>
      <c r="V38" s="649"/>
      <c r="W38" s="648"/>
      <c r="X38" s="649"/>
      <c r="Y38" s="648"/>
      <c r="Z38" s="649"/>
      <c r="AA38" s="714"/>
      <c r="AB38" s="714"/>
      <c r="AC38" s="714"/>
      <c r="AD38" s="714"/>
    </row>
    <row r="39" spans="1:30" hidden="1" x14ac:dyDescent="0.2">
      <c r="A39" s="268" t="s">
        <v>85</v>
      </c>
      <c r="B39" s="1135"/>
      <c r="C39" s="650"/>
      <c r="D39" s="651"/>
      <c r="E39" s="650"/>
      <c r="F39" s="651"/>
      <c r="G39" s="650"/>
      <c r="H39" s="651"/>
      <c r="I39" s="650"/>
      <c r="J39" s="651"/>
      <c r="K39" s="650"/>
      <c r="L39" s="651"/>
      <c r="M39" s="650"/>
      <c r="N39" s="715"/>
      <c r="O39" s="650"/>
      <c r="P39" s="715"/>
      <c r="Q39" s="650"/>
      <c r="R39" s="715"/>
      <c r="S39" s="650"/>
      <c r="T39" s="651"/>
      <c r="U39" s="650"/>
      <c r="V39" s="651"/>
      <c r="W39" s="650"/>
      <c r="X39" s="651"/>
      <c r="Y39" s="650"/>
      <c r="Z39" s="651"/>
      <c r="AA39" s="714"/>
      <c r="AB39" s="714"/>
      <c r="AC39" s="714"/>
      <c r="AD39" s="714"/>
    </row>
    <row r="40" spans="1:30" hidden="1" x14ac:dyDescent="0.2">
      <c r="A40" s="268" t="s">
        <v>256</v>
      </c>
      <c r="B40" s="1133" t="str">
        <f>IF(Zona13&lt;&gt;"",Zona13,"")</f>
        <v/>
      </c>
      <c r="C40" s="648"/>
      <c r="D40" s="649"/>
      <c r="E40" s="648"/>
      <c r="F40" s="649"/>
      <c r="G40" s="648"/>
      <c r="H40" s="649"/>
      <c r="I40" s="714"/>
      <c r="J40" s="649"/>
      <c r="K40" s="714"/>
      <c r="L40" s="649"/>
      <c r="M40" s="648"/>
      <c r="N40" s="714"/>
      <c r="O40" s="648"/>
      <c r="P40" s="714"/>
      <c r="Q40" s="648"/>
      <c r="R40" s="714"/>
      <c r="S40" s="648"/>
      <c r="T40" s="649"/>
      <c r="U40" s="648"/>
      <c r="V40" s="649"/>
      <c r="W40" s="648"/>
      <c r="X40" s="649"/>
      <c r="Y40" s="648"/>
      <c r="Z40" s="649"/>
      <c r="AA40" s="714"/>
      <c r="AB40" s="714"/>
      <c r="AC40" s="714"/>
      <c r="AD40" s="714"/>
    </row>
    <row r="41" spans="1:30" hidden="1" x14ac:dyDescent="0.2">
      <c r="A41" s="268" t="s">
        <v>257</v>
      </c>
      <c r="B41" s="1134"/>
      <c r="C41" s="648"/>
      <c r="D41" s="649"/>
      <c r="E41" s="648"/>
      <c r="F41" s="649"/>
      <c r="G41" s="648"/>
      <c r="H41" s="649"/>
      <c r="I41" s="714"/>
      <c r="J41" s="649"/>
      <c r="K41" s="714"/>
      <c r="L41" s="649"/>
      <c r="M41" s="648"/>
      <c r="N41" s="714"/>
      <c r="O41" s="648"/>
      <c r="P41" s="714"/>
      <c r="Q41" s="648"/>
      <c r="R41" s="714"/>
      <c r="S41" s="648"/>
      <c r="T41" s="649"/>
      <c r="U41" s="648"/>
      <c r="V41" s="649"/>
      <c r="W41" s="648"/>
      <c r="X41" s="649"/>
      <c r="Y41" s="648"/>
      <c r="Z41" s="649"/>
      <c r="AA41" s="714"/>
      <c r="AB41" s="714"/>
      <c r="AC41" s="714"/>
      <c r="AD41" s="714"/>
    </row>
    <row r="42" spans="1:30" hidden="1" x14ac:dyDescent="0.2">
      <c r="A42" s="268" t="s">
        <v>85</v>
      </c>
      <c r="B42" s="1135"/>
      <c r="C42" s="650"/>
      <c r="D42" s="651"/>
      <c r="E42" s="650"/>
      <c r="F42" s="651"/>
      <c r="G42" s="650"/>
      <c r="H42" s="651"/>
      <c r="I42" s="715"/>
      <c r="J42" s="651"/>
      <c r="K42" s="715"/>
      <c r="L42" s="651"/>
      <c r="M42" s="650"/>
      <c r="N42" s="715"/>
      <c r="O42" s="650"/>
      <c r="P42" s="715"/>
      <c r="Q42" s="650"/>
      <c r="R42" s="715"/>
      <c r="S42" s="650"/>
      <c r="T42" s="651"/>
      <c r="U42" s="650"/>
      <c r="V42" s="651"/>
      <c r="W42" s="650"/>
      <c r="X42" s="651"/>
      <c r="Y42" s="650"/>
      <c r="Z42" s="651"/>
      <c r="AA42" s="714"/>
      <c r="AB42" s="714"/>
      <c r="AC42" s="714"/>
      <c r="AD42" s="714"/>
    </row>
    <row r="43" spans="1:30" hidden="1" x14ac:dyDescent="0.2">
      <c r="A43" s="268" t="s">
        <v>256</v>
      </c>
      <c r="B43" s="1133" t="str">
        <f>IF(Zona14&lt;&gt;"",Zona14,"")</f>
        <v/>
      </c>
      <c r="C43" s="648"/>
      <c r="D43" s="649"/>
      <c r="E43" s="648"/>
      <c r="F43" s="649"/>
      <c r="G43" s="648"/>
      <c r="H43" s="649"/>
      <c r="I43" s="714"/>
      <c r="J43" s="649"/>
      <c r="K43" s="714"/>
      <c r="L43" s="649"/>
      <c r="M43" s="648"/>
      <c r="N43" s="714"/>
      <c r="O43" s="648"/>
      <c r="P43" s="714"/>
      <c r="Q43" s="648"/>
      <c r="R43" s="714"/>
      <c r="S43" s="648"/>
      <c r="T43" s="649"/>
      <c r="U43" s="648"/>
      <c r="V43" s="649"/>
      <c r="W43" s="648"/>
      <c r="X43" s="649"/>
      <c r="Y43" s="648"/>
      <c r="Z43" s="649"/>
      <c r="AA43" s="714"/>
      <c r="AB43" s="714"/>
      <c r="AC43" s="714"/>
      <c r="AD43" s="714"/>
    </row>
    <row r="44" spans="1:30" hidden="1" x14ac:dyDescent="0.2">
      <c r="A44" s="268" t="s">
        <v>257</v>
      </c>
      <c r="B44" s="1134"/>
      <c r="C44" s="648"/>
      <c r="D44" s="649"/>
      <c r="E44" s="648"/>
      <c r="F44" s="649"/>
      <c r="G44" s="648"/>
      <c r="H44" s="649"/>
      <c r="I44" s="714"/>
      <c r="J44" s="649"/>
      <c r="K44" s="714"/>
      <c r="L44" s="649"/>
      <c r="M44" s="648"/>
      <c r="N44" s="714"/>
      <c r="O44" s="648"/>
      <c r="P44" s="714"/>
      <c r="Q44" s="648"/>
      <c r="R44" s="714"/>
      <c r="S44" s="648"/>
      <c r="T44" s="649"/>
      <c r="U44" s="648"/>
      <c r="V44" s="649"/>
      <c r="W44" s="648"/>
      <c r="X44" s="649"/>
      <c r="Y44" s="648"/>
      <c r="Z44" s="649"/>
      <c r="AA44" s="714"/>
      <c r="AB44" s="714"/>
      <c r="AC44" s="714"/>
      <c r="AD44" s="714"/>
    </row>
    <row r="45" spans="1:30" hidden="1" x14ac:dyDescent="0.2">
      <c r="A45" s="268" t="s">
        <v>85</v>
      </c>
      <c r="B45" s="1135"/>
      <c r="C45" s="650"/>
      <c r="D45" s="651"/>
      <c r="E45" s="650"/>
      <c r="F45" s="651"/>
      <c r="G45" s="650"/>
      <c r="H45" s="651"/>
      <c r="I45" s="715"/>
      <c r="J45" s="651"/>
      <c r="K45" s="715"/>
      <c r="L45" s="651"/>
      <c r="M45" s="650"/>
      <c r="N45" s="715"/>
      <c r="O45" s="650"/>
      <c r="P45" s="715"/>
      <c r="Q45" s="650"/>
      <c r="R45" s="715"/>
      <c r="S45" s="650"/>
      <c r="T45" s="651"/>
      <c r="U45" s="650"/>
      <c r="V45" s="651"/>
      <c r="W45" s="650"/>
      <c r="X45" s="651"/>
      <c r="Y45" s="650"/>
      <c r="Z45" s="651"/>
      <c r="AA45" s="714"/>
      <c r="AB45" s="714"/>
      <c r="AC45" s="714"/>
      <c r="AD45" s="714"/>
    </row>
    <row r="46" spans="1:30" hidden="1" x14ac:dyDescent="0.2">
      <c r="A46" s="268" t="s">
        <v>256</v>
      </c>
      <c r="B46" s="1133" t="str">
        <f>IF(Zona15&lt;&gt;"",Zona15,"")</f>
        <v/>
      </c>
      <c r="C46" s="646"/>
      <c r="D46" s="647"/>
      <c r="E46" s="646"/>
      <c r="F46" s="647"/>
      <c r="G46" s="646"/>
      <c r="H46" s="647"/>
      <c r="I46" s="646"/>
      <c r="J46" s="647"/>
      <c r="K46" s="646"/>
      <c r="L46" s="647"/>
      <c r="M46" s="646"/>
      <c r="N46" s="713"/>
      <c r="O46" s="646"/>
      <c r="P46" s="713"/>
      <c r="Q46" s="646"/>
      <c r="R46" s="713"/>
      <c r="S46" s="646"/>
      <c r="T46" s="647"/>
      <c r="U46" s="646"/>
      <c r="V46" s="647"/>
      <c r="W46" s="646"/>
      <c r="X46" s="647"/>
      <c r="Y46" s="646"/>
      <c r="Z46" s="647"/>
      <c r="AA46" s="714"/>
      <c r="AB46" s="714"/>
      <c r="AC46" s="714"/>
      <c r="AD46" s="714"/>
    </row>
    <row r="47" spans="1:30" hidden="1" x14ac:dyDescent="0.2">
      <c r="A47" s="268" t="s">
        <v>257</v>
      </c>
      <c r="B47" s="1134"/>
      <c r="C47" s="714"/>
      <c r="D47" s="649"/>
      <c r="E47" s="714"/>
      <c r="F47" s="649"/>
      <c r="G47" s="714"/>
      <c r="H47" s="649"/>
      <c r="I47" s="714"/>
      <c r="J47" s="649"/>
      <c r="K47" s="714"/>
      <c r="L47" s="649"/>
      <c r="M47" s="714"/>
      <c r="N47" s="649"/>
      <c r="O47" s="714"/>
      <c r="P47" s="649"/>
      <c r="Q47" s="714"/>
      <c r="R47" s="649"/>
      <c r="S47" s="714"/>
      <c r="T47" s="649"/>
      <c r="U47" s="714"/>
      <c r="V47" s="649"/>
      <c r="W47" s="714"/>
      <c r="X47" s="649"/>
      <c r="Y47" s="714"/>
      <c r="Z47" s="649"/>
      <c r="AA47" s="714"/>
      <c r="AB47" s="714"/>
      <c r="AC47" s="714"/>
      <c r="AD47" s="714"/>
    </row>
    <row r="48" spans="1:30" ht="2.25" hidden="1" customHeight="1" x14ac:dyDescent="0.2">
      <c r="A48" s="268" t="s">
        <v>85</v>
      </c>
      <c r="B48" s="1135"/>
      <c r="C48" s="715"/>
      <c r="D48" s="651"/>
      <c r="E48" s="650"/>
      <c r="F48" s="651"/>
      <c r="G48" s="650"/>
      <c r="H48" s="651"/>
      <c r="I48" s="650"/>
      <c r="J48" s="651"/>
      <c r="K48" s="650"/>
      <c r="L48" s="651"/>
      <c r="M48" s="650"/>
      <c r="N48" s="715"/>
      <c r="O48" s="650"/>
      <c r="P48" s="715"/>
      <c r="Q48" s="650"/>
      <c r="R48" s="651"/>
      <c r="S48" s="715"/>
      <c r="T48" s="651"/>
      <c r="U48" s="715"/>
      <c r="V48" s="651"/>
      <c r="W48" s="715"/>
      <c r="X48" s="651"/>
      <c r="Y48" s="715"/>
      <c r="Z48" s="651"/>
      <c r="AA48" s="714"/>
      <c r="AB48" s="714"/>
      <c r="AC48" s="714"/>
      <c r="AD48" s="714"/>
    </row>
    <row r="49" spans="1:30" x14ac:dyDescent="0.2">
      <c r="A49" s="43"/>
      <c r="B49" s="51"/>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row>
    <row r="50" spans="1:30" x14ac:dyDescent="0.2">
      <c r="A50" s="43"/>
      <c r="B50" s="1"/>
      <c r="C50" s="1"/>
      <c r="D50" s="1"/>
      <c r="E50" s="1"/>
      <c r="F50" s="1"/>
      <c r="G50" s="1"/>
      <c r="H50" s="1"/>
      <c r="I50" s="1"/>
      <c r="J50" s="1"/>
      <c r="K50" s="1"/>
      <c r="L50" s="1"/>
      <c r="M50" s="1"/>
      <c r="N50" s="1"/>
      <c r="O50" s="1"/>
      <c r="P50" s="1"/>
      <c r="Q50" s="1"/>
      <c r="R50" s="1"/>
      <c r="S50" s="1"/>
      <c r="T50" s="2"/>
      <c r="U50" s="1"/>
      <c r="V50" s="2"/>
      <c r="W50" s="1"/>
      <c r="X50" s="2"/>
      <c r="Y50" s="1"/>
      <c r="Z50" s="2"/>
      <c r="AA50" s="2"/>
      <c r="AB50" s="2"/>
      <c r="AC50" s="2"/>
      <c r="AD50" s="2"/>
    </row>
    <row r="51" spans="1:30" x14ac:dyDescent="0.2">
      <c r="A51" s="43"/>
      <c r="B51" s="1122" t="s">
        <v>250</v>
      </c>
      <c r="C51" s="1122"/>
      <c r="D51" s="1122"/>
      <c r="E51" s="1122"/>
      <c r="F51" s="1122"/>
      <c r="G51" s="1122"/>
      <c r="H51" s="1122"/>
      <c r="I51" s="1122"/>
      <c r="J51" s="1122"/>
      <c r="K51" s="1122"/>
      <c r="L51" s="1122"/>
      <c r="M51" s="43"/>
      <c r="N51" s="43"/>
      <c r="O51" s="43"/>
      <c r="P51" s="43"/>
      <c r="Q51" s="43"/>
      <c r="R51" s="43"/>
      <c r="S51" s="42"/>
      <c r="T51" s="42"/>
      <c r="U51" s="42"/>
      <c r="V51" s="42"/>
      <c r="W51" s="42"/>
      <c r="X51" s="42"/>
      <c r="Y51" s="42"/>
      <c r="Z51" s="42"/>
      <c r="AA51" s="42"/>
      <c r="AB51" s="42"/>
      <c r="AC51" s="42"/>
      <c r="AD51" s="42"/>
    </row>
    <row r="52" spans="1:30" x14ac:dyDescent="0.2">
      <c r="A52" s="43"/>
      <c r="B52" s="274" t="s">
        <v>102</v>
      </c>
      <c r="C52" s="1107" t="s">
        <v>103</v>
      </c>
      <c r="D52" s="1108"/>
      <c r="E52" s="1108"/>
      <c r="F52" s="1108"/>
      <c r="G52" s="1108"/>
      <c r="H52" s="1108"/>
      <c r="I52" s="1108"/>
      <c r="J52" s="1108"/>
      <c r="K52" s="1108"/>
      <c r="L52" s="1109"/>
      <c r="M52" s="1"/>
      <c r="N52" s="1"/>
      <c r="O52" s="1"/>
      <c r="P52" s="1"/>
      <c r="Q52" s="1"/>
      <c r="R52" s="1"/>
      <c r="S52" s="1"/>
      <c r="T52" s="1"/>
      <c r="U52" s="1"/>
      <c r="V52" s="1"/>
      <c r="W52" s="1"/>
      <c r="X52" s="1"/>
      <c r="Y52" s="1"/>
      <c r="Z52" s="1"/>
      <c r="AA52" s="1"/>
      <c r="AB52" s="1"/>
      <c r="AC52" s="1"/>
      <c r="AD52" s="1"/>
    </row>
    <row r="53" spans="1:30" x14ac:dyDescent="0.2">
      <c r="A53" s="43"/>
      <c r="B53" s="286" t="s">
        <v>179</v>
      </c>
      <c r="C53" s="1130" t="s">
        <v>178</v>
      </c>
      <c r="D53" s="1131"/>
      <c r="E53" s="1131"/>
      <c r="F53" s="1131"/>
      <c r="G53" s="1131"/>
      <c r="H53" s="1131"/>
      <c r="I53" s="1131"/>
      <c r="J53" s="1131"/>
      <c r="K53" s="1131"/>
      <c r="L53" s="1132"/>
      <c r="M53" s="1"/>
      <c r="N53" s="1"/>
      <c r="O53" s="1"/>
      <c r="P53" s="1"/>
      <c r="Q53" s="1"/>
      <c r="R53" s="1"/>
      <c r="S53" s="1"/>
      <c r="T53" s="1"/>
      <c r="U53" s="1"/>
      <c r="V53" s="1"/>
      <c r="W53" s="1"/>
      <c r="X53" s="1"/>
      <c r="Y53" s="1"/>
      <c r="Z53" s="1"/>
      <c r="AA53" s="1"/>
      <c r="AB53" s="1"/>
      <c r="AC53" s="1"/>
      <c r="AD53" s="1"/>
    </row>
    <row r="54" spans="1:30" x14ac:dyDescent="0.2">
      <c r="A54" s="43"/>
      <c r="B54" s="652" t="s">
        <v>309</v>
      </c>
      <c r="C54" s="1127" t="s">
        <v>340</v>
      </c>
      <c r="D54" s="1128"/>
      <c r="E54" s="1128"/>
      <c r="F54" s="1128"/>
      <c r="G54" s="1128"/>
      <c r="H54" s="1128"/>
      <c r="I54" s="1128"/>
      <c r="J54" s="1128"/>
      <c r="K54" s="1128"/>
      <c r="L54" s="1129"/>
      <c r="M54" s="1"/>
      <c r="N54" s="1"/>
      <c r="O54" s="1"/>
      <c r="P54" s="1"/>
      <c r="Q54" s="1"/>
      <c r="R54" s="1"/>
      <c r="S54" s="1"/>
      <c r="T54" s="1"/>
      <c r="U54" s="1"/>
      <c r="V54" s="1"/>
      <c r="W54" s="1"/>
      <c r="X54" s="1"/>
      <c r="Y54" s="1"/>
      <c r="Z54" s="1"/>
      <c r="AA54" s="1"/>
      <c r="AB54" s="1"/>
      <c r="AC54" s="1"/>
      <c r="AD54" s="1"/>
    </row>
    <row r="55" spans="1:30" x14ac:dyDescent="0.2">
      <c r="A55" s="43"/>
      <c r="B55" s="652" t="s">
        <v>156</v>
      </c>
      <c r="C55" s="1116" t="s">
        <v>341</v>
      </c>
      <c r="D55" s="1117"/>
      <c r="E55" s="1117"/>
      <c r="F55" s="1117"/>
      <c r="G55" s="1117"/>
      <c r="H55" s="1117"/>
      <c r="I55" s="1117"/>
      <c r="J55" s="1117"/>
      <c r="K55" s="1117"/>
      <c r="L55" s="1118"/>
      <c r="M55" s="1"/>
      <c r="N55" s="1"/>
      <c r="O55" s="1"/>
      <c r="P55" s="1"/>
      <c r="Q55" s="1"/>
      <c r="R55" s="1"/>
      <c r="S55" s="1"/>
      <c r="T55" s="1"/>
      <c r="U55" s="1"/>
      <c r="V55" s="1"/>
      <c r="W55" s="1"/>
      <c r="X55" s="1"/>
      <c r="Y55" s="1"/>
      <c r="Z55" s="1"/>
      <c r="AA55" s="1"/>
      <c r="AB55" s="1"/>
      <c r="AC55" s="1"/>
      <c r="AD55" s="1"/>
    </row>
    <row r="56" spans="1:30" x14ac:dyDescent="0.2">
      <c r="A56" s="43"/>
      <c r="B56" s="652" t="s">
        <v>157</v>
      </c>
      <c r="C56" s="1127" t="s">
        <v>335</v>
      </c>
      <c r="D56" s="1128"/>
      <c r="E56" s="1128"/>
      <c r="F56" s="1128"/>
      <c r="G56" s="1128"/>
      <c r="H56" s="1128"/>
      <c r="I56" s="1128"/>
      <c r="J56" s="1128"/>
      <c r="K56" s="1128"/>
      <c r="L56" s="1129"/>
      <c r="M56" s="1"/>
      <c r="N56" s="1"/>
      <c r="O56" s="1"/>
      <c r="P56" s="1"/>
      <c r="Q56" s="1"/>
      <c r="R56" s="1"/>
      <c r="S56" s="1"/>
      <c r="T56" s="1"/>
      <c r="U56" s="1"/>
      <c r="V56" s="1"/>
      <c r="W56" s="1"/>
      <c r="X56" s="1"/>
      <c r="Y56" s="1"/>
      <c r="Z56" s="1"/>
      <c r="AA56" s="1"/>
      <c r="AB56" s="1"/>
      <c r="AC56" s="1"/>
      <c r="AD56" s="1"/>
    </row>
    <row r="57" spans="1:30" x14ac:dyDescent="0.2">
      <c r="A57" s="43"/>
      <c r="B57" s="652" t="s">
        <v>104</v>
      </c>
      <c r="C57" s="1127" t="s">
        <v>336</v>
      </c>
      <c r="D57" s="1128"/>
      <c r="E57" s="1128"/>
      <c r="F57" s="1128"/>
      <c r="G57" s="1128"/>
      <c r="H57" s="1128"/>
      <c r="I57" s="1128"/>
      <c r="J57" s="1128"/>
      <c r="K57" s="1128"/>
      <c r="L57" s="1129"/>
      <c r="M57" s="1"/>
      <c r="N57" s="1"/>
      <c r="O57" s="1"/>
      <c r="P57" s="1"/>
      <c r="Q57" s="1"/>
      <c r="R57" s="1"/>
      <c r="S57" s="1"/>
      <c r="T57" s="1"/>
      <c r="U57" s="1"/>
      <c r="V57" s="1"/>
      <c r="W57" s="1"/>
      <c r="X57" s="1"/>
      <c r="Y57" s="1"/>
      <c r="Z57" s="1"/>
      <c r="AA57" s="1"/>
      <c r="AB57" s="1"/>
      <c r="AC57" s="1"/>
      <c r="AD57" s="1"/>
    </row>
    <row r="58" spans="1:30" x14ac:dyDescent="0.2">
      <c r="A58" s="43"/>
      <c r="B58" s="653" t="s">
        <v>6</v>
      </c>
      <c r="C58" s="1140" t="s">
        <v>337</v>
      </c>
      <c r="D58" s="1141"/>
      <c r="E58" s="1141"/>
      <c r="F58" s="1141"/>
      <c r="G58" s="1141"/>
      <c r="H58" s="1141"/>
      <c r="I58" s="1141"/>
      <c r="J58" s="1141"/>
      <c r="K58" s="1141"/>
      <c r="L58" s="1142"/>
      <c r="M58" s="1"/>
      <c r="N58" s="1"/>
      <c r="O58" s="1"/>
      <c r="P58" s="1"/>
      <c r="Q58" s="1"/>
      <c r="R58" s="1"/>
      <c r="S58" s="1"/>
      <c r="T58" s="1"/>
      <c r="U58" s="1"/>
      <c r="V58" s="1"/>
      <c r="W58" s="1"/>
      <c r="X58" s="1"/>
      <c r="Y58" s="1"/>
      <c r="Z58" s="1"/>
      <c r="AA58" s="1"/>
      <c r="AB58" s="1"/>
      <c r="AC58" s="1"/>
      <c r="AD58" s="1"/>
    </row>
    <row r="59" spans="1:30" hidden="1" x14ac:dyDescent="0.2">
      <c r="A59" s="43"/>
      <c r="B59" s="652"/>
      <c r="C59" s="1116"/>
      <c r="D59" s="1117"/>
      <c r="E59" s="1117"/>
      <c r="F59" s="1117"/>
      <c r="G59" s="1117"/>
      <c r="H59" s="1117"/>
      <c r="I59" s="1117"/>
      <c r="J59" s="1117"/>
      <c r="K59" s="1117"/>
      <c r="L59" s="1118"/>
      <c r="M59" s="1"/>
      <c r="N59" s="43"/>
      <c r="O59" s="43"/>
      <c r="P59" s="43"/>
      <c r="Q59" s="43"/>
      <c r="R59" s="43"/>
      <c r="S59" s="43"/>
      <c r="T59" s="42"/>
      <c r="U59" s="43"/>
      <c r="V59" s="42"/>
      <c r="W59" s="43"/>
      <c r="X59" s="42"/>
      <c r="Y59" s="43"/>
      <c r="Z59" s="42"/>
      <c r="AA59" s="42"/>
      <c r="AB59" s="42"/>
      <c r="AC59" s="42"/>
      <c r="AD59" s="42"/>
    </row>
    <row r="60" spans="1:30" hidden="1" x14ac:dyDescent="0.2">
      <c r="A60" s="1"/>
      <c r="B60" s="652"/>
      <c r="C60" s="1116"/>
      <c r="D60" s="1117"/>
      <c r="E60" s="1117"/>
      <c r="F60" s="1117"/>
      <c r="G60" s="1117"/>
      <c r="H60" s="1117"/>
      <c r="I60" s="1117"/>
      <c r="J60" s="1117"/>
      <c r="K60" s="1117"/>
      <c r="L60" s="1118"/>
      <c r="M60" s="43"/>
      <c r="N60" s="1"/>
      <c r="O60" s="1"/>
      <c r="P60" s="1"/>
      <c r="Q60" s="1"/>
      <c r="R60" s="1"/>
      <c r="S60" s="1"/>
      <c r="T60" s="2"/>
      <c r="U60" s="1"/>
      <c r="V60" s="2"/>
      <c r="W60" s="1"/>
      <c r="X60" s="2"/>
      <c r="Y60" s="1"/>
      <c r="Z60" s="2"/>
      <c r="AA60" s="2"/>
      <c r="AB60" s="2"/>
      <c r="AC60" s="2"/>
      <c r="AD60" s="2"/>
    </row>
    <row r="61" spans="1:30" hidden="1" x14ac:dyDescent="0.2">
      <c r="A61" s="1"/>
      <c r="B61" s="652"/>
      <c r="C61" s="1116"/>
      <c r="D61" s="1117"/>
      <c r="E61" s="1117"/>
      <c r="F61" s="1117"/>
      <c r="G61" s="1117"/>
      <c r="H61" s="1117"/>
      <c r="I61" s="1117"/>
      <c r="J61" s="1117"/>
      <c r="K61" s="1117"/>
      <c r="L61" s="1118"/>
      <c r="M61" s="1"/>
      <c r="N61" s="2"/>
      <c r="O61" s="2"/>
      <c r="P61" s="2"/>
      <c r="Q61" s="2"/>
      <c r="R61" s="2"/>
      <c r="S61" s="2"/>
      <c r="T61" s="2"/>
      <c r="U61" s="2"/>
      <c r="V61" s="2"/>
      <c r="W61" s="2"/>
      <c r="X61" s="2"/>
      <c r="Y61" s="2"/>
      <c r="Z61" s="2"/>
      <c r="AA61" s="2"/>
      <c r="AB61" s="2"/>
      <c r="AC61" s="2"/>
      <c r="AD61" s="2"/>
    </row>
    <row r="62" spans="1:30" hidden="1" x14ac:dyDescent="0.2">
      <c r="A62" s="1"/>
      <c r="B62" s="652"/>
      <c r="C62" s="1116"/>
      <c r="D62" s="1117"/>
      <c r="E62" s="1117"/>
      <c r="F62" s="1117"/>
      <c r="G62" s="1117"/>
      <c r="H62" s="1117"/>
      <c r="I62" s="1117"/>
      <c r="J62" s="1117"/>
      <c r="K62" s="1117"/>
      <c r="L62" s="1118"/>
      <c r="M62" s="2"/>
      <c r="O62" s="2"/>
      <c r="P62" s="2"/>
      <c r="Q62" s="2"/>
      <c r="R62" s="2"/>
      <c r="S62" s="2"/>
      <c r="T62" s="2"/>
      <c r="U62" s="2"/>
      <c r="V62" s="2"/>
      <c r="W62" s="2"/>
      <c r="X62" s="2"/>
      <c r="Y62" s="2"/>
      <c r="Z62" s="2"/>
      <c r="AA62" s="2"/>
      <c r="AB62" s="2"/>
      <c r="AC62" s="2"/>
      <c r="AD62" s="2"/>
    </row>
    <row r="63" spans="1:30" hidden="1" x14ac:dyDescent="0.2">
      <c r="A63" s="1"/>
      <c r="B63" s="652"/>
      <c r="C63" s="1116"/>
      <c r="D63" s="1117"/>
      <c r="E63" s="1117"/>
      <c r="F63" s="1117"/>
      <c r="G63" s="1117"/>
      <c r="H63" s="1117"/>
      <c r="I63" s="1117"/>
      <c r="J63" s="1117"/>
      <c r="K63" s="1117"/>
      <c r="L63" s="1118"/>
      <c r="M63" s="2"/>
      <c r="O63" s="2"/>
      <c r="P63" s="2"/>
      <c r="Q63" s="2"/>
      <c r="R63" s="2"/>
      <c r="S63" s="2"/>
      <c r="T63" s="2"/>
      <c r="U63" s="2"/>
      <c r="V63" s="2"/>
      <c r="W63" s="2"/>
      <c r="X63" s="2"/>
      <c r="Y63" s="2"/>
      <c r="Z63" s="2"/>
      <c r="AA63" s="2"/>
      <c r="AB63" s="2"/>
      <c r="AC63" s="2"/>
      <c r="AD63" s="2"/>
    </row>
    <row r="64" spans="1:30" hidden="1" x14ac:dyDescent="0.2">
      <c r="A64" s="1"/>
      <c r="B64" s="652"/>
      <c r="C64" s="1116"/>
      <c r="D64" s="1117"/>
      <c r="E64" s="1117"/>
      <c r="F64" s="1117"/>
      <c r="G64" s="1117"/>
      <c r="H64" s="1117"/>
      <c r="I64" s="1117"/>
      <c r="J64" s="1117"/>
      <c r="K64" s="1117"/>
      <c r="L64" s="1118"/>
      <c r="M64" s="2"/>
      <c r="O64" s="2"/>
      <c r="P64" s="2"/>
      <c r="Q64" s="2"/>
      <c r="R64" s="2"/>
      <c r="S64" s="2"/>
      <c r="T64" s="2"/>
      <c r="U64" s="2"/>
      <c r="V64" s="2"/>
      <c r="W64" s="2"/>
      <c r="X64" s="2"/>
      <c r="Y64" s="2"/>
      <c r="Z64" s="2"/>
      <c r="AA64" s="2"/>
      <c r="AB64" s="2"/>
      <c r="AC64" s="2"/>
      <c r="AD64" s="2"/>
    </row>
    <row r="65" spans="1:30" hidden="1" x14ac:dyDescent="0.2">
      <c r="A65" s="1"/>
      <c r="B65" s="652"/>
      <c r="C65" s="1116"/>
      <c r="D65" s="1117"/>
      <c r="E65" s="1117"/>
      <c r="F65" s="1117"/>
      <c r="G65" s="1117"/>
      <c r="H65" s="1117"/>
      <c r="I65" s="1117"/>
      <c r="J65" s="1117"/>
      <c r="K65" s="1117"/>
      <c r="L65" s="1118"/>
      <c r="M65" s="2"/>
      <c r="O65" s="2"/>
      <c r="P65" s="2"/>
      <c r="Q65" s="2"/>
      <c r="R65" s="2"/>
      <c r="S65" s="2"/>
      <c r="T65" s="2"/>
      <c r="U65" s="2"/>
      <c r="V65" s="2"/>
      <c r="W65" s="2"/>
      <c r="X65" s="2"/>
      <c r="Y65" s="2"/>
      <c r="Z65" s="2"/>
      <c r="AA65" s="2"/>
      <c r="AB65" s="2"/>
      <c r="AC65" s="2"/>
      <c r="AD65" s="2"/>
    </row>
    <row r="66" spans="1:30" hidden="1" x14ac:dyDescent="0.2">
      <c r="A66" s="1"/>
      <c r="B66" s="652"/>
      <c r="C66" s="1116"/>
      <c r="D66" s="1117"/>
      <c r="E66" s="1117"/>
      <c r="F66" s="1117"/>
      <c r="G66" s="1117"/>
      <c r="H66" s="1117"/>
      <c r="I66" s="1117"/>
      <c r="J66" s="1117"/>
      <c r="K66" s="1117"/>
      <c r="L66" s="1118"/>
      <c r="M66" s="2"/>
      <c r="O66" s="2"/>
      <c r="P66" s="2"/>
      <c r="Q66" s="2"/>
      <c r="R66" s="2"/>
      <c r="S66" s="2"/>
      <c r="T66" s="2"/>
      <c r="U66" s="2"/>
      <c r="V66" s="2"/>
      <c r="W66" s="2"/>
      <c r="X66" s="2"/>
      <c r="Y66" s="2"/>
      <c r="Z66" s="2"/>
      <c r="AA66" s="2"/>
      <c r="AB66" s="2"/>
      <c r="AC66" s="2"/>
      <c r="AD66" s="2"/>
    </row>
    <row r="67" spans="1:30" hidden="1" x14ac:dyDescent="0.2">
      <c r="A67" s="1"/>
      <c r="B67" s="652"/>
      <c r="C67" s="1116"/>
      <c r="D67" s="1117"/>
      <c r="E67" s="1117"/>
      <c r="F67" s="1117"/>
      <c r="G67" s="1117"/>
      <c r="H67" s="1117"/>
      <c r="I67" s="1117"/>
      <c r="J67" s="1117"/>
      <c r="K67" s="1117"/>
      <c r="L67" s="1118"/>
      <c r="M67" s="2"/>
      <c r="O67" s="2"/>
      <c r="P67" s="2"/>
      <c r="Q67" s="2"/>
      <c r="R67" s="2"/>
      <c r="S67" s="2"/>
      <c r="T67" s="2"/>
      <c r="U67" s="2"/>
      <c r="V67" s="2"/>
      <c r="W67" s="2"/>
      <c r="X67" s="2"/>
      <c r="Y67" s="2"/>
      <c r="Z67" s="2"/>
      <c r="AA67" s="2"/>
      <c r="AB67" s="2"/>
      <c r="AC67" s="2"/>
      <c r="AD67" s="2"/>
    </row>
    <row r="68" spans="1:30" hidden="1" x14ac:dyDescent="0.2">
      <c r="A68" s="1"/>
      <c r="B68" s="653"/>
      <c r="C68" s="1124"/>
      <c r="D68" s="1125"/>
      <c r="E68" s="1125"/>
      <c r="F68" s="1125"/>
      <c r="G68" s="1125"/>
      <c r="H68" s="1125"/>
      <c r="I68" s="1125"/>
      <c r="J68" s="1125"/>
      <c r="K68" s="1125"/>
      <c r="L68" s="1126"/>
      <c r="M68" s="2"/>
      <c r="O68" s="2"/>
      <c r="P68" s="2"/>
      <c r="Q68" s="2"/>
      <c r="R68" s="2"/>
      <c r="S68" s="2"/>
      <c r="T68" s="2"/>
      <c r="U68" s="2"/>
      <c r="V68" s="2"/>
      <c r="W68" s="2"/>
      <c r="X68" s="2"/>
      <c r="Y68" s="2"/>
      <c r="Z68" s="2"/>
      <c r="AA68" s="2"/>
      <c r="AB68" s="2"/>
      <c r="AC68" s="2"/>
      <c r="AD68" s="2"/>
    </row>
    <row r="69" spans="1:30" x14ac:dyDescent="0.2">
      <c r="A69" s="1"/>
      <c r="B69" s="2"/>
      <c r="C69" s="2"/>
      <c r="D69" s="2"/>
      <c r="E69" s="2"/>
      <c r="F69" s="2"/>
      <c r="G69" s="1"/>
      <c r="H69" s="1"/>
      <c r="I69" s="1"/>
      <c r="J69" s="1"/>
      <c r="K69" s="1"/>
      <c r="L69" s="1"/>
      <c r="M69" s="1"/>
      <c r="O69" s="1"/>
      <c r="P69" s="1"/>
      <c r="Q69" s="1"/>
      <c r="R69" s="1"/>
      <c r="S69" s="1"/>
      <c r="T69" s="1"/>
      <c r="U69" s="1"/>
      <c r="V69" s="1"/>
      <c r="W69" s="1"/>
      <c r="X69" s="1"/>
      <c r="Y69" s="1"/>
      <c r="Z69" s="1"/>
      <c r="AA69" s="1"/>
      <c r="AB69" s="1"/>
      <c r="AC69" s="1"/>
      <c r="AD69" s="1"/>
    </row>
    <row r="70" spans="1:30" x14ac:dyDescent="0.2">
      <c r="A70" s="1"/>
      <c r="B70" s="1122" t="s">
        <v>251</v>
      </c>
      <c r="C70" s="1122"/>
      <c r="D70" s="1122"/>
      <c r="E70" s="1122"/>
      <c r="F70" s="1122"/>
      <c r="G70" s="1122"/>
      <c r="H70" s="1122"/>
      <c r="I70" s="1122"/>
      <c r="J70" s="1122"/>
      <c r="K70" s="1122"/>
      <c r="L70" s="1122"/>
      <c r="M70" s="1"/>
      <c r="O70" s="1"/>
      <c r="P70" s="1"/>
      <c r="Q70" s="1"/>
      <c r="R70" s="1"/>
      <c r="S70" s="1"/>
      <c r="T70" s="1"/>
      <c r="U70" s="1"/>
      <c r="V70" s="1"/>
      <c r="W70" s="1"/>
      <c r="X70" s="1"/>
      <c r="Y70" s="1"/>
      <c r="Z70" s="1"/>
      <c r="AA70" s="1"/>
      <c r="AB70" s="1"/>
      <c r="AC70" s="1"/>
      <c r="AD70" s="1"/>
    </row>
    <row r="71" spans="1:30" x14ac:dyDescent="0.2">
      <c r="A71" s="1"/>
      <c r="B71" s="274" t="s">
        <v>102</v>
      </c>
      <c r="C71" s="1107" t="s">
        <v>103</v>
      </c>
      <c r="D71" s="1108"/>
      <c r="E71" s="1108"/>
      <c r="F71" s="1108"/>
      <c r="G71" s="1108"/>
      <c r="H71" s="1108"/>
      <c r="I71" s="1108"/>
      <c r="J71" s="1108"/>
      <c r="K71" s="1108"/>
      <c r="L71" s="1109"/>
      <c r="M71" s="1"/>
      <c r="O71" s="1"/>
      <c r="P71" s="1"/>
      <c r="Q71" s="1"/>
      <c r="R71" s="1"/>
      <c r="S71" s="1"/>
      <c r="T71" s="1"/>
      <c r="U71" s="1"/>
      <c r="V71" s="1"/>
      <c r="W71" s="1"/>
      <c r="X71" s="1"/>
      <c r="Y71" s="1"/>
      <c r="Z71" s="1"/>
      <c r="AA71" s="1"/>
      <c r="AB71" s="1"/>
      <c r="AC71" s="1"/>
      <c r="AD71" s="1"/>
    </row>
    <row r="72" spans="1:30" x14ac:dyDescent="0.2">
      <c r="A72" s="1"/>
      <c r="B72" s="286">
        <v>1</v>
      </c>
      <c r="C72" s="1143" t="s">
        <v>1</v>
      </c>
      <c r="D72" s="1144"/>
      <c r="E72" s="1144"/>
      <c r="F72" s="1144"/>
      <c r="G72" s="1144"/>
      <c r="H72" s="1144"/>
      <c r="I72" s="1144"/>
      <c r="J72" s="1144"/>
      <c r="K72" s="1144"/>
      <c r="L72" s="1145"/>
      <c r="M72" s="1"/>
      <c r="O72" s="1"/>
      <c r="P72" s="1"/>
      <c r="Q72" s="1"/>
      <c r="R72" s="1"/>
      <c r="S72" s="1"/>
      <c r="T72" s="1"/>
      <c r="U72" s="1"/>
      <c r="V72" s="1"/>
      <c r="W72" s="1"/>
      <c r="X72" s="1"/>
      <c r="Y72" s="1"/>
      <c r="Z72" s="1"/>
      <c r="AA72" s="1"/>
      <c r="AB72" s="1"/>
      <c r="AC72" s="1"/>
      <c r="AD72" s="1"/>
    </row>
    <row r="73" spans="1:30" x14ac:dyDescent="0.2">
      <c r="A73" s="1"/>
      <c r="B73" s="286">
        <v>2</v>
      </c>
      <c r="C73" s="1119" t="s">
        <v>342</v>
      </c>
      <c r="D73" s="1120"/>
      <c r="E73" s="1120"/>
      <c r="F73" s="1120"/>
      <c r="G73" s="1120"/>
      <c r="H73" s="1120"/>
      <c r="I73" s="1120"/>
      <c r="J73" s="1120"/>
      <c r="K73" s="1120"/>
      <c r="L73" s="1121"/>
      <c r="M73" s="1"/>
      <c r="O73" s="1"/>
      <c r="P73" s="1"/>
      <c r="Q73" s="1"/>
      <c r="R73" s="1"/>
      <c r="S73" s="1"/>
      <c r="T73" s="1"/>
      <c r="U73" s="1"/>
      <c r="V73" s="1"/>
      <c r="W73" s="1"/>
      <c r="X73" s="1"/>
      <c r="Y73" s="1"/>
      <c r="Z73" s="1"/>
      <c r="AA73" s="1"/>
      <c r="AB73" s="1"/>
      <c r="AC73" s="1"/>
      <c r="AD73" s="1"/>
    </row>
    <row r="74" spans="1:30" x14ac:dyDescent="0.2">
      <c r="A74" s="1"/>
      <c r="B74" s="286">
        <v>3</v>
      </c>
      <c r="C74" s="1119" t="s">
        <v>343</v>
      </c>
      <c r="D74" s="1120"/>
      <c r="E74" s="1120"/>
      <c r="F74" s="1120"/>
      <c r="G74" s="1120"/>
      <c r="H74" s="1120"/>
      <c r="I74" s="1120"/>
      <c r="J74" s="1120"/>
      <c r="K74" s="1120"/>
      <c r="L74" s="1121"/>
      <c r="M74" s="1"/>
      <c r="O74" s="1"/>
      <c r="P74" s="1"/>
      <c r="Q74" s="1"/>
      <c r="R74" s="1"/>
      <c r="S74" s="1"/>
      <c r="T74" s="1"/>
      <c r="U74" s="1"/>
      <c r="V74" s="1"/>
      <c r="W74" s="1"/>
      <c r="X74" s="1"/>
      <c r="Y74" s="1"/>
      <c r="Z74" s="1"/>
      <c r="AA74" s="1"/>
      <c r="AB74" s="1"/>
      <c r="AC74" s="1"/>
      <c r="AD74" s="1"/>
    </row>
    <row r="75" spans="1:30" x14ac:dyDescent="0.2">
      <c r="A75" s="1"/>
      <c r="B75" s="286">
        <v>4</v>
      </c>
      <c r="C75" s="1119" t="s">
        <v>344</v>
      </c>
      <c r="D75" s="1120"/>
      <c r="E75" s="1120"/>
      <c r="F75" s="1120"/>
      <c r="G75" s="1120"/>
      <c r="H75" s="1120"/>
      <c r="I75" s="1120"/>
      <c r="J75" s="1120"/>
      <c r="K75" s="1120"/>
      <c r="L75" s="1121"/>
      <c r="M75" s="1"/>
      <c r="O75" s="1"/>
      <c r="P75" s="1"/>
      <c r="Q75" s="1"/>
      <c r="R75" s="1"/>
      <c r="S75" s="1"/>
      <c r="T75" s="1"/>
      <c r="U75" s="1"/>
      <c r="V75" s="1"/>
      <c r="W75" s="1"/>
      <c r="X75" s="1"/>
      <c r="Y75" s="1"/>
      <c r="Z75" s="1"/>
      <c r="AA75" s="1"/>
      <c r="AB75" s="1"/>
      <c r="AC75" s="1"/>
      <c r="AD75" s="1"/>
    </row>
    <row r="76" spans="1:30" x14ac:dyDescent="0.2">
      <c r="A76" s="1"/>
      <c r="B76" s="286">
        <v>5</v>
      </c>
      <c r="C76" s="1119" t="s">
        <v>345</v>
      </c>
      <c r="D76" s="1120"/>
      <c r="E76" s="1120"/>
      <c r="F76" s="1120"/>
      <c r="G76" s="1120"/>
      <c r="H76" s="1120"/>
      <c r="I76" s="1120"/>
      <c r="J76" s="1120"/>
      <c r="K76" s="1120"/>
      <c r="L76" s="1121"/>
      <c r="M76" s="1"/>
      <c r="O76" s="1"/>
      <c r="P76" s="1"/>
      <c r="Q76" s="1"/>
      <c r="R76" s="1"/>
      <c r="S76" s="1"/>
      <c r="T76" s="1"/>
      <c r="U76" s="1"/>
      <c r="V76" s="1"/>
      <c r="W76" s="1"/>
      <c r="X76" s="1"/>
      <c r="Y76" s="1"/>
      <c r="Z76" s="1"/>
      <c r="AA76" s="1"/>
      <c r="AB76" s="1"/>
      <c r="AC76" s="1"/>
      <c r="AD76" s="1"/>
    </row>
    <row r="77" spans="1:30" x14ac:dyDescent="0.2">
      <c r="A77" s="1"/>
      <c r="B77" s="286">
        <v>6</v>
      </c>
      <c r="C77" s="1119" t="s">
        <v>346</v>
      </c>
      <c r="D77" s="1120"/>
      <c r="E77" s="1120"/>
      <c r="F77" s="1120"/>
      <c r="G77" s="1120"/>
      <c r="H77" s="1120"/>
      <c r="I77" s="1120"/>
      <c r="J77" s="1120"/>
      <c r="K77" s="1120"/>
      <c r="L77" s="1121"/>
      <c r="M77" s="1"/>
      <c r="O77" s="1"/>
      <c r="P77" s="1"/>
      <c r="Q77" s="1"/>
      <c r="R77" s="1"/>
      <c r="S77" s="1"/>
      <c r="T77" s="1"/>
      <c r="U77" s="1"/>
      <c r="V77" s="1"/>
      <c r="W77" s="1"/>
      <c r="X77" s="1"/>
      <c r="Y77" s="1"/>
      <c r="Z77" s="1"/>
      <c r="AA77" s="1"/>
      <c r="AB77" s="1"/>
      <c r="AC77" s="1"/>
      <c r="AD77" s="1"/>
    </row>
    <row r="78" spans="1:30" x14ac:dyDescent="0.2">
      <c r="A78" s="1"/>
      <c r="B78" s="286">
        <v>7</v>
      </c>
      <c r="C78" s="1119" t="s">
        <v>347</v>
      </c>
      <c r="D78" s="1120"/>
      <c r="E78" s="1120"/>
      <c r="F78" s="1120"/>
      <c r="G78" s="1120"/>
      <c r="H78" s="1120"/>
      <c r="I78" s="1120"/>
      <c r="J78" s="1120"/>
      <c r="K78" s="1120"/>
      <c r="L78" s="1121"/>
      <c r="M78" s="1"/>
      <c r="O78" s="1"/>
      <c r="P78" s="1"/>
      <c r="Q78" s="1"/>
      <c r="R78" s="1"/>
      <c r="S78" s="1"/>
      <c r="T78" s="1"/>
      <c r="U78" s="1"/>
      <c r="V78" s="1"/>
      <c r="W78" s="1"/>
      <c r="X78" s="1"/>
      <c r="Y78" s="1"/>
      <c r="Z78" s="1"/>
      <c r="AA78" s="1"/>
      <c r="AB78" s="1"/>
      <c r="AC78" s="1"/>
      <c r="AD78" s="1"/>
    </row>
    <row r="79" spans="1:30" x14ac:dyDescent="0.2">
      <c r="A79" s="1"/>
      <c r="B79" s="286">
        <v>8</v>
      </c>
      <c r="C79" s="1119" t="s">
        <v>348</v>
      </c>
      <c r="D79" s="1120"/>
      <c r="E79" s="1120"/>
      <c r="F79" s="1120"/>
      <c r="G79" s="1120"/>
      <c r="H79" s="1120"/>
      <c r="I79" s="1120"/>
      <c r="J79" s="1120"/>
      <c r="K79" s="1120"/>
      <c r="L79" s="1121"/>
      <c r="M79" s="1"/>
      <c r="O79" s="1"/>
      <c r="P79" s="1"/>
      <c r="Q79" s="1"/>
      <c r="R79" s="1"/>
      <c r="S79" s="1"/>
      <c r="T79" s="1"/>
      <c r="U79" s="1"/>
      <c r="V79" s="1"/>
      <c r="W79" s="1"/>
      <c r="X79" s="1"/>
      <c r="Y79" s="1"/>
      <c r="Z79" s="1"/>
      <c r="AA79" s="1"/>
      <c r="AB79" s="1"/>
      <c r="AC79" s="1"/>
      <c r="AD79" s="1"/>
    </row>
    <row r="80" spans="1:30" x14ac:dyDescent="0.2">
      <c r="A80" s="1"/>
      <c r="B80" s="286">
        <v>9</v>
      </c>
      <c r="C80" s="1119" t="s">
        <v>92</v>
      </c>
      <c r="D80" s="1120"/>
      <c r="E80" s="1120"/>
      <c r="F80" s="1120"/>
      <c r="G80" s="1120"/>
      <c r="H80" s="1120"/>
      <c r="I80" s="1120"/>
      <c r="J80" s="1120"/>
      <c r="K80" s="1120"/>
      <c r="L80" s="1121"/>
      <c r="M80" s="1"/>
      <c r="O80" s="1"/>
      <c r="P80" s="1"/>
      <c r="Q80" s="1"/>
      <c r="R80" s="1"/>
      <c r="S80" s="1"/>
      <c r="T80" s="1"/>
      <c r="U80" s="1"/>
      <c r="V80" s="1"/>
      <c r="W80" s="1"/>
      <c r="X80" s="1"/>
      <c r="Y80" s="1"/>
      <c r="Z80" s="1"/>
      <c r="AA80" s="1"/>
      <c r="AB80" s="1"/>
      <c r="AC80" s="1"/>
      <c r="AD80" s="1"/>
    </row>
    <row r="81" spans="1:30" x14ac:dyDescent="0.2">
      <c r="A81" s="1"/>
      <c r="B81" s="286">
        <v>10</v>
      </c>
      <c r="C81" s="1119" t="s">
        <v>93</v>
      </c>
      <c r="D81" s="1120"/>
      <c r="E81" s="1120"/>
      <c r="F81" s="1120"/>
      <c r="G81" s="1120"/>
      <c r="H81" s="1120"/>
      <c r="I81" s="1120"/>
      <c r="J81" s="1120"/>
      <c r="K81" s="1120"/>
      <c r="L81" s="1121"/>
      <c r="M81" s="1"/>
      <c r="O81" s="1"/>
      <c r="P81" s="1"/>
      <c r="Q81" s="1"/>
      <c r="R81" s="1"/>
      <c r="S81" s="1"/>
      <c r="T81" s="1"/>
      <c r="U81" s="1"/>
      <c r="V81" s="1"/>
      <c r="W81" s="1"/>
      <c r="X81" s="1"/>
      <c r="Y81" s="1"/>
      <c r="Z81" s="1"/>
      <c r="AA81" s="1"/>
      <c r="AB81" s="1"/>
      <c r="AC81" s="1"/>
      <c r="AD81" s="1"/>
    </row>
    <row r="82" spans="1:30" x14ac:dyDescent="0.2">
      <c r="A82" s="1"/>
      <c r="B82" s="287">
        <v>11</v>
      </c>
      <c r="C82" s="1157" t="s">
        <v>349</v>
      </c>
      <c r="D82" s="1158"/>
      <c r="E82" s="1158"/>
      <c r="F82" s="1158"/>
      <c r="G82" s="1158"/>
      <c r="H82" s="1158"/>
      <c r="I82" s="1158"/>
      <c r="J82" s="1158"/>
      <c r="K82" s="1158"/>
      <c r="L82" s="1159"/>
      <c r="M82" s="1"/>
      <c r="O82" s="1"/>
      <c r="P82" s="1"/>
      <c r="Q82" s="1"/>
      <c r="R82" s="1"/>
      <c r="S82" s="1"/>
      <c r="T82" s="1"/>
      <c r="U82" s="1"/>
      <c r="V82" s="1"/>
      <c r="W82" s="1"/>
      <c r="X82" s="1"/>
      <c r="Y82" s="1"/>
      <c r="Z82" s="1"/>
      <c r="AA82" s="1"/>
      <c r="AB82" s="1"/>
      <c r="AC82" s="1"/>
      <c r="AD82" s="1"/>
    </row>
    <row r="83" spans="1:30" hidden="1" x14ac:dyDescent="0.2">
      <c r="A83" s="1"/>
      <c r="B83" s="286">
        <v>12</v>
      </c>
      <c r="C83" s="1119" t="s">
        <v>324</v>
      </c>
      <c r="D83" s="1120"/>
      <c r="E83" s="1120"/>
      <c r="F83" s="1120"/>
      <c r="G83" s="1120"/>
      <c r="H83" s="1120"/>
      <c r="I83" s="1120"/>
      <c r="J83" s="1120"/>
      <c r="K83" s="1120"/>
      <c r="L83" s="1121"/>
      <c r="M83" s="1"/>
      <c r="O83" s="1"/>
      <c r="P83" s="1"/>
      <c r="Q83" s="1"/>
      <c r="R83" s="1"/>
      <c r="S83" s="1"/>
      <c r="T83" s="1"/>
      <c r="U83" s="1"/>
      <c r="V83" s="1"/>
      <c r="W83" s="1"/>
      <c r="X83" s="1"/>
      <c r="Y83" s="1"/>
      <c r="Z83" s="1"/>
      <c r="AA83" s="1"/>
      <c r="AB83" s="1"/>
      <c r="AC83" s="1"/>
      <c r="AD83" s="1"/>
    </row>
    <row r="84" spans="1:30" ht="12.75" hidden="1" customHeight="1" x14ac:dyDescent="0.2">
      <c r="A84" s="1"/>
      <c r="B84" s="287">
        <v>13</v>
      </c>
      <c r="C84" s="1157" t="s">
        <v>325</v>
      </c>
      <c r="D84" s="1158"/>
      <c r="E84" s="1158"/>
      <c r="F84" s="1158"/>
      <c r="G84" s="1158"/>
      <c r="H84" s="1158"/>
      <c r="I84" s="1158"/>
      <c r="J84" s="1158"/>
      <c r="K84" s="1158"/>
      <c r="L84" s="1159"/>
      <c r="M84" s="1"/>
      <c r="O84" s="1"/>
      <c r="P84" s="1"/>
      <c r="Q84" s="1"/>
      <c r="R84" s="1"/>
      <c r="S84" s="1"/>
      <c r="T84" s="1"/>
      <c r="U84" s="1"/>
      <c r="V84" s="1"/>
      <c r="W84" s="1"/>
      <c r="X84" s="1"/>
      <c r="Y84" s="1"/>
      <c r="Z84" s="1"/>
      <c r="AA84" s="1"/>
      <c r="AB84" s="1"/>
      <c r="AC84" s="1"/>
      <c r="AD84" s="1"/>
    </row>
    <row r="85" spans="1:30" x14ac:dyDescent="0.2">
      <c r="A85" s="1"/>
      <c r="B85" s="2"/>
      <c r="C85" s="2"/>
      <c r="D85" s="2"/>
      <c r="E85" s="2"/>
      <c r="F85" s="2"/>
      <c r="G85" s="1"/>
      <c r="H85" s="1"/>
      <c r="I85" s="1"/>
      <c r="J85" s="1"/>
      <c r="K85" s="1"/>
      <c r="L85" s="1"/>
      <c r="M85" s="1"/>
      <c r="O85" s="1"/>
      <c r="P85" s="1"/>
      <c r="Q85" s="1"/>
      <c r="R85" s="1"/>
      <c r="S85" s="1"/>
      <c r="T85" s="1"/>
      <c r="U85" s="1"/>
      <c r="V85" s="1"/>
      <c r="W85" s="1"/>
      <c r="X85" s="1"/>
      <c r="Y85" s="1"/>
      <c r="Z85" s="1"/>
      <c r="AA85" s="1"/>
      <c r="AB85" s="1"/>
      <c r="AC85" s="1"/>
      <c r="AD85" s="1"/>
    </row>
    <row r="86" spans="1:30" x14ac:dyDescent="0.2">
      <c r="A86" s="1"/>
      <c r="B86" s="1123" t="s">
        <v>350</v>
      </c>
      <c r="C86" s="1123"/>
      <c r="D86" s="1123"/>
      <c r="E86" s="1123"/>
      <c r="F86" s="1123"/>
      <c r="G86" s="1123"/>
      <c r="H86" s="1123"/>
      <c r="I86" s="1123"/>
      <c r="J86" s="1123"/>
      <c r="K86" s="1123"/>
      <c r="L86" s="1123"/>
      <c r="P86" s="1"/>
      <c r="Q86" s="1"/>
      <c r="R86" s="1"/>
      <c r="S86" s="1"/>
      <c r="T86" s="1"/>
      <c r="U86" s="1"/>
      <c r="V86" s="1"/>
      <c r="W86" s="1"/>
      <c r="X86" s="1"/>
      <c r="Y86" s="1"/>
      <c r="Z86" s="1"/>
      <c r="AA86" s="1"/>
      <c r="AB86" s="1"/>
      <c r="AC86" s="1"/>
      <c r="AD86" s="1"/>
    </row>
    <row r="87" spans="1:30" ht="12.75" customHeight="1" x14ac:dyDescent="0.2">
      <c r="A87" s="1"/>
      <c r="B87" s="275" t="s">
        <v>102</v>
      </c>
      <c r="C87" s="1107" t="s">
        <v>103</v>
      </c>
      <c r="D87" s="1109"/>
      <c r="E87" s="276" t="s">
        <v>261</v>
      </c>
      <c r="F87" s="2"/>
      <c r="I87" s="658" t="s">
        <v>296</v>
      </c>
      <c r="P87" s="1"/>
      <c r="Q87" s="1"/>
      <c r="R87" s="1"/>
      <c r="S87" s="1"/>
      <c r="T87" s="1"/>
      <c r="U87" s="1"/>
      <c r="V87" s="1"/>
      <c r="W87" s="1"/>
      <c r="X87" s="1"/>
      <c r="Y87" s="1"/>
      <c r="Z87" s="1"/>
      <c r="AA87" s="1"/>
      <c r="AB87" s="1"/>
      <c r="AC87" s="1"/>
      <c r="AD87" s="1"/>
    </row>
    <row r="88" spans="1:30" ht="12.75" customHeight="1" x14ac:dyDescent="0.2">
      <c r="A88" s="1"/>
      <c r="B88" s="288" t="s">
        <v>179</v>
      </c>
      <c r="C88" s="1114" t="s">
        <v>217</v>
      </c>
      <c r="D88" s="1115"/>
      <c r="E88" s="291"/>
      <c r="F88" s="2"/>
      <c r="I88" s="659" t="s">
        <v>59</v>
      </c>
      <c r="P88" s="1"/>
      <c r="Q88" s="1"/>
      <c r="R88" s="1"/>
      <c r="S88" s="1"/>
      <c r="T88" s="1"/>
      <c r="U88" s="1"/>
      <c r="V88" s="1"/>
      <c r="W88" s="1"/>
      <c r="X88" s="1"/>
      <c r="Y88" s="1"/>
      <c r="Z88" s="1"/>
      <c r="AA88" s="1"/>
      <c r="AB88" s="1"/>
      <c r="AC88" s="1"/>
      <c r="AD88" s="1"/>
    </row>
    <row r="89" spans="1:30" ht="12.75" customHeight="1" x14ac:dyDescent="0.2">
      <c r="A89" s="1"/>
      <c r="B89" s="289">
        <v>1</v>
      </c>
      <c r="C89" s="1112" t="s">
        <v>252</v>
      </c>
      <c r="D89" s="1113"/>
      <c r="E89" s="654">
        <v>0</v>
      </c>
      <c r="F89" s="2"/>
      <c r="I89" s="659" t="s">
        <v>289</v>
      </c>
      <c r="P89" s="1"/>
      <c r="Q89" s="1"/>
      <c r="R89" s="1"/>
      <c r="S89" s="1"/>
      <c r="T89" s="1"/>
      <c r="U89" s="1"/>
      <c r="V89" s="1"/>
      <c r="W89" s="1"/>
      <c r="X89" s="1"/>
      <c r="Y89" s="1"/>
      <c r="Z89" s="1"/>
      <c r="AA89" s="1"/>
      <c r="AB89" s="1"/>
      <c r="AC89" s="1"/>
      <c r="AD89" s="1"/>
    </row>
    <row r="90" spans="1:30" x14ac:dyDescent="0.2">
      <c r="A90" s="1"/>
      <c r="B90" s="289"/>
      <c r="C90" s="1153"/>
      <c r="D90" s="1160"/>
      <c r="E90" s="654"/>
      <c r="F90" s="2"/>
      <c r="I90" s="54"/>
      <c r="P90" s="1"/>
      <c r="Q90" s="1"/>
      <c r="R90" s="1"/>
      <c r="S90" s="1"/>
      <c r="T90" s="1"/>
      <c r="U90" s="1"/>
      <c r="V90" s="1"/>
      <c r="W90" s="1"/>
      <c r="X90" s="1"/>
      <c r="Y90" s="1"/>
      <c r="Z90" s="1"/>
      <c r="AA90" s="1"/>
      <c r="AB90" s="1"/>
      <c r="AC90" s="1"/>
      <c r="AD90" s="1"/>
    </row>
    <row r="91" spans="1:30" x14ac:dyDescent="0.2">
      <c r="A91" s="1"/>
      <c r="B91" s="289"/>
      <c r="C91" s="1153"/>
      <c r="D91" s="1154"/>
      <c r="E91" s="654"/>
      <c r="F91" s="2"/>
      <c r="I91" s="54"/>
      <c r="P91" s="1"/>
      <c r="Q91" s="1"/>
      <c r="R91" s="1"/>
      <c r="S91" s="1"/>
      <c r="T91" s="1"/>
      <c r="U91" s="1"/>
      <c r="V91" s="1"/>
      <c r="W91" s="1"/>
      <c r="X91" s="1"/>
      <c r="Y91" s="1"/>
      <c r="Z91" s="1"/>
      <c r="AA91" s="1"/>
      <c r="AB91" s="1"/>
      <c r="AC91" s="1"/>
      <c r="AD91" s="1"/>
    </row>
    <row r="92" spans="1:30" x14ac:dyDescent="0.2">
      <c r="A92" s="1"/>
      <c r="B92" s="290"/>
      <c r="C92" s="1155"/>
      <c r="D92" s="1156"/>
      <c r="E92" s="655"/>
      <c r="F92" s="2"/>
      <c r="P92" s="1"/>
      <c r="Q92" s="1"/>
      <c r="R92" s="1"/>
      <c r="S92" s="1"/>
      <c r="T92" s="1"/>
      <c r="U92" s="1"/>
      <c r="V92" s="1"/>
      <c r="W92" s="1"/>
      <c r="X92" s="1"/>
      <c r="Y92" s="1"/>
      <c r="Z92" s="1"/>
      <c r="AA92" s="1"/>
      <c r="AB92" s="1"/>
      <c r="AC92" s="1"/>
      <c r="AD92" s="1"/>
    </row>
    <row r="93" spans="1:30" x14ac:dyDescent="0.2">
      <c r="A93" s="1"/>
      <c r="B93" s="2"/>
      <c r="C93" s="2"/>
      <c r="D93" s="2"/>
      <c r="E93" s="2"/>
      <c r="F93" s="2"/>
      <c r="G93" s="1"/>
      <c r="P93" s="1"/>
      <c r="Q93" s="1"/>
      <c r="R93" s="1"/>
      <c r="S93" s="1"/>
      <c r="T93" s="1"/>
      <c r="U93" s="1"/>
      <c r="V93" s="1"/>
      <c r="W93" s="1"/>
      <c r="X93" s="1"/>
      <c r="Y93" s="1"/>
      <c r="Z93" s="1"/>
      <c r="AA93" s="1"/>
      <c r="AB93" s="1"/>
      <c r="AC93" s="1"/>
      <c r="AD93" s="1"/>
    </row>
    <row r="94" spans="1:30" hidden="1" x14ac:dyDescent="0.2">
      <c r="A94" s="1"/>
      <c r="B94" s="1123" t="s">
        <v>253</v>
      </c>
      <c r="C94" s="1123"/>
      <c r="D94" s="1123"/>
      <c r="E94" s="1123"/>
      <c r="F94" s="1123"/>
      <c r="G94" s="1123"/>
      <c r="H94" s="1123"/>
      <c r="I94" s="1123"/>
      <c r="J94" s="1123"/>
      <c r="K94" s="1123"/>
      <c r="L94" s="1123"/>
      <c r="P94" s="1"/>
      <c r="Q94" s="1"/>
      <c r="R94" s="1"/>
      <c r="S94" s="1"/>
      <c r="T94" s="1"/>
      <c r="U94" s="1"/>
      <c r="V94" s="1"/>
      <c r="W94" s="1"/>
      <c r="X94" s="1"/>
      <c r="Y94" s="1"/>
      <c r="Z94" s="1"/>
      <c r="AA94" s="1"/>
      <c r="AB94" s="1"/>
      <c r="AC94" s="1"/>
      <c r="AD94" s="1"/>
    </row>
    <row r="95" spans="1:30" hidden="1" x14ac:dyDescent="0.2">
      <c r="A95" s="1"/>
      <c r="B95" s="275" t="s">
        <v>102</v>
      </c>
      <c r="C95" s="1107" t="s">
        <v>103</v>
      </c>
      <c r="D95" s="1109"/>
      <c r="E95" s="276" t="s">
        <v>261</v>
      </c>
      <c r="F95" s="2"/>
      <c r="G95" s="1"/>
      <c r="H95" s="1"/>
      <c r="I95" s="1"/>
      <c r="J95" s="1"/>
      <c r="K95" s="1"/>
      <c r="L95" s="1"/>
      <c r="M95" s="1"/>
      <c r="N95" s="1"/>
      <c r="O95" s="1"/>
      <c r="P95" s="1"/>
      <c r="Q95" s="1"/>
      <c r="R95" s="1"/>
      <c r="S95" s="1"/>
      <c r="T95" s="1"/>
      <c r="U95" s="1"/>
      <c r="V95" s="1"/>
      <c r="W95" s="1"/>
      <c r="X95" s="1"/>
      <c r="Y95" s="1"/>
      <c r="Z95" s="1"/>
      <c r="AA95" s="1"/>
      <c r="AB95" s="1"/>
      <c r="AC95" s="1"/>
      <c r="AD95" s="1"/>
    </row>
    <row r="96" spans="1:30" ht="12.75" hidden="1" customHeight="1" x14ac:dyDescent="0.2">
      <c r="A96" s="1"/>
      <c r="B96" s="288" t="s">
        <v>179</v>
      </c>
      <c r="C96" s="1130" t="s">
        <v>217</v>
      </c>
      <c r="D96" s="1132"/>
      <c r="E96" s="291"/>
      <c r="F96" s="2"/>
      <c r="G96" s="1"/>
      <c r="H96" s="1"/>
      <c r="I96" s="1"/>
      <c r="J96" s="1"/>
      <c r="K96" s="1"/>
      <c r="L96" s="1"/>
      <c r="M96" s="1"/>
      <c r="N96" s="1"/>
      <c r="O96" s="1"/>
      <c r="P96" s="1"/>
      <c r="Q96" s="1"/>
      <c r="R96" s="1"/>
      <c r="S96" s="1"/>
      <c r="T96" s="1"/>
      <c r="U96" s="1"/>
      <c r="V96" s="1"/>
      <c r="W96" s="1"/>
      <c r="X96" s="1"/>
      <c r="Y96" s="1"/>
      <c r="Z96" s="1"/>
      <c r="AA96" s="1"/>
      <c r="AB96" s="1"/>
      <c r="AC96" s="1"/>
      <c r="AD96" s="1"/>
    </row>
    <row r="97" spans="1:30" ht="12.75" hidden="1" customHeight="1" x14ac:dyDescent="0.2">
      <c r="A97" s="1"/>
      <c r="B97" s="289">
        <v>1</v>
      </c>
      <c r="C97" s="1127" t="s">
        <v>252</v>
      </c>
      <c r="D97" s="1129"/>
      <c r="E97" s="654">
        <v>0</v>
      </c>
      <c r="F97" s="2"/>
      <c r="G97" s="1"/>
      <c r="H97" s="1"/>
      <c r="I97" s="1"/>
      <c r="J97" s="1"/>
      <c r="K97" s="1"/>
      <c r="L97" s="1"/>
      <c r="M97" s="1"/>
      <c r="N97" s="1"/>
      <c r="O97" s="1"/>
      <c r="P97" s="1"/>
      <c r="Q97" s="1"/>
      <c r="R97" s="1"/>
      <c r="S97" s="1"/>
      <c r="T97" s="1"/>
      <c r="U97" s="1"/>
      <c r="V97" s="1"/>
      <c r="W97" s="1"/>
      <c r="X97" s="1"/>
      <c r="Y97" s="1"/>
      <c r="Z97" s="1"/>
      <c r="AA97" s="1"/>
      <c r="AB97" s="1"/>
      <c r="AC97" s="1"/>
      <c r="AD97" s="1"/>
    </row>
    <row r="98" spans="1:30" hidden="1" x14ac:dyDescent="0.2">
      <c r="A98" s="1"/>
      <c r="B98" s="289"/>
      <c r="C98" s="1119"/>
      <c r="D98" s="1121"/>
      <c r="E98" s="654"/>
      <c r="F98" s="2"/>
      <c r="G98" s="1"/>
      <c r="H98" s="1"/>
      <c r="I98" s="1"/>
      <c r="J98" s="1"/>
      <c r="K98" s="1"/>
      <c r="L98" s="1"/>
      <c r="M98" s="1"/>
      <c r="N98" s="1"/>
      <c r="O98" s="1"/>
      <c r="P98" s="1"/>
      <c r="Q98" s="1"/>
      <c r="R98" s="1"/>
      <c r="S98" s="1"/>
      <c r="T98" s="1"/>
      <c r="U98" s="1"/>
      <c r="V98" s="1"/>
      <c r="W98" s="1"/>
      <c r="X98" s="1"/>
      <c r="Y98" s="1"/>
      <c r="Z98" s="1"/>
      <c r="AA98" s="1"/>
      <c r="AB98" s="1"/>
      <c r="AC98" s="1"/>
      <c r="AD98" s="1"/>
    </row>
    <row r="99" spans="1:30" hidden="1" x14ac:dyDescent="0.2">
      <c r="A99" s="1"/>
      <c r="B99" s="289"/>
      <c r="C99" s="1119"/>
      <c r="D99" s="1121"/>
      <c r="E99" s="654"/>
      <c r="F99" s="2"/>
      <c r="G99" s="1"/>
      <c r="H99" s="1"/>
      <c r="I99" s="1"/>
      <c r="J99" s="1"/>
      <c r="K99" s="1"/>
      <c r="L99" s="1"/>
      <c r="M99" s="1"/>
      <c r="N99" s="1"/>
      <c r="O99" s="1"/>
      <c r="P99" s="1"/>
      <c r="Q99" s="1"/>
      <c r="R99" s="1"/>
      <c r="S99" s="1"/>
      <c r="T99" s="1"/>
      <c r="U99" s="1"/>
      <c r="V99" s="1"/>
      <c r="W99" s="1"/>
      <c r="X99" s="1"/>
      <c r="Y99" s="1"/>
      <c r="Z99" s="1"/>
      <c r="AA99" s="1"/>
      <c r="AB99" s="1"/>
      <c r="AC99" s="1"/>
      <c r="AD99" s="1"/>
    </row>
    <row r="100" spans="1:30" hidden="1" x14ac:dyDescent="0.2">
      <c r="A100" s="1"/>
      <c r="B100" s="290"/>
      <c r="C100" s="1151"/>
      <c r="D100" s="1152"/>
      <c r="E100" s="655"/>
      <c r="F100" s="2"/>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x14ac:dyDescent="0.2">
      <c r="A101" s="1"/>
      <c r="B101" s="2"/>
      <c r="C101" s="2"/>
      <c r="D101" s="2"/>
      <c r="E101" s="2"/>
      <c r="F101" s="2"/>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39.950000000000003" customHeight="1" x14ac:dyDescent="0.2">
      <c r="A102" s="1"/>
      <c r="B102" s="1107" t="s">
        <v>254</v>
      </c>
      <c r="C102" s="1109"/>
      <c r="D102" s="1"/>
      <c r="E102" s="2"/>
      <c r="F102" s="1"/>
      <c r="I102" s="1"/>
      <c r="J102" s="1"/>
      <c r="K102" s="1"/>
      <c r="L102" s="1"/>
      <c r="M102" s="1"/>
      <c r="N102" s="1"/>
      <c r="O102" s="1"/>
      <c r="P102" s="1"/>
      <c r="Q102" s="1"/>
      <c r="R102" s="1"/>
      <c r="S102" s="1"/>
      <c r="T102" s="1"/>
      <c r="U102" s="1"/>
      <c r="V102" s="1"/>
      <c r="W102" s="1"/>
      <c r="X102" s="1"/>
      <c r="Y102" s="1"/>
      <c r="Z102" s="1"/>
      <c r="AA102" s="1"/>
      <c r="AB102" s="1"/>
      <c r="AC102" s="1"/>
      <c r="AD102" s="1"/>
    </row>
    <row r="103" spans="1:30" x14ac:dyDescent="0.2">
      <c r="A103" s="1"/>
      <c r="B103" s="1138">
        <v>403.83</v>
      </c>
      <c r="C103" s="1139"/>
      <c r="I103" s="1"/>
      <c r="J103" s="1"/>
      <c r="K103" s="1"/>
      <c r="L103" s="1"/>
      <c r="M103" s="1"/>
      <c r="N103" s="1"/>
      <c r="O103" s="1"/>
      <c r="P103" s="1"/>
      <c r="Q103" s="1"/>
      <c r="R103" s="1"/>
      <c r="S103" s="1"/>
      <c r="T103" s="1"/>
      <c r="U103" s="1"/>
      <c r="V103" s="1"/>
      <c r="W103" s="1"/>
      <c r="X103" s="1"/>
      <c r="Y103" s="1"/>
      <c r="Z103" s="1"/>
      <c r="AA103" s="1"/>
      <c r="AB103" s="1"/>
      <c r="AC103" s="1"/>
      <c r="AD103" s="1"/>
    </row>
    <row r="104" spans="1:30" x14ac:dyDescent="0.2">
      <c r="A104" s="1"/>
      <c r="I104" s="1"/>
      <c r="J104" s="1"/>
      <c r="K104" s="1"/>
      <c r="L104" s="1"/>
      <c r="M104" s="1"/>
      <c r="N104" s="1"/>
      <c r="O104" s="1"/>
      <c r="P104" s="1"/>
      <c r="Q104" s="1"/>
      <c r="R104" s="1"/>
      <c r="S104" s="1"/>
      <c r="T104" s="1"/>
      <c r="U104" s="1"/>
      <c r="V104" s="1"/>
      <c r="W104" s="1"/>
      <c r="X104" s="1"/>
      <c r="Y104" s="1"/>
      <c r="Z104" s="1"/>
      <c r="AA104" s="1"/>
      <c r="AB104" s="1"/>
      <c r="AC104" s="1"/>
      <c r="AD104" s="1"/>
    </row>
    <row r="105" spans="1:30" ht="39.950000000000003" customHeight="1" x14ac:dyDescent="0.2">
      <c r="A105" s="1"/>
      <c r="B105" s="1107" t="s">
        <v>301</v>
      </c>
      <c r="C105" s="1109"/>
      <c r="I105" s="1"/>
      <c r="J105" s="1"/>
      <c r="K105" s="1"/>
      <c r="L105" s="1"/>
      <c r="M105" s="1"/>
      <c r="N105" s="1"/>
      <c r="O105" s="1"/>
      <c r="P105" s="1"/>
      <c r="Q105" s="1"/>
      <c r="R105" s="1"/>
      <c r="S105" s="1"/>
      <c r="T105" s="1"/>
      <c r="U105" s="1"/>
      <c r="V105" s="1"/>
      <c r="W105" s="1"/>
      <c r="X105" s="1"/>
      <c r="Y105" s="1"/>
      <c r="Z105" s="1"/>
      <c r="AA105" s="1"/>
      <c r="AB105" s="1"/>
      <c r="AC105" s="1"/>
      <c r="AD105" s="1"/>
    </row>
    <row r="106" spans="1:30" ht="25.5" x14ac:dyDescent="0.2">
      <c r="A106" s="1"/>
      <c r="B106" s="274" t="s">
        <v>302</v>
      </c>
      <c r="C106" s="274" t="s">
        <v>303</v>
      </c>
      <c r="I106" s="1"/>
      <c r="J106" s="1"/>
      <c r="K106" s="1"/>
      <c r="L106" s="1"/>
      <c r="M106" s="1"/>
      <c r="N106" s="1"/>
      <c r="O106" s="1"/>
      <c r="P106" s="1"/>
      <c r="Q106" s="1"/>
      <c r="R106" s="1"/>
      <c r="S106" s="1"/>
      <c r="T106" s="1"/>
      <c r="U106" s="1"/>
      <c r="V106" s="1"/>
      <c r="W106" s="1"/>
      <c r="X106" s="1"/>
      <c r="Y106" s="1"/>
      <c r="Z106" s="1"/>
      <c r="AA106" s="1"/>
      <c r="AB106" s="1"/>
      <c r="AC106" s="1"/>
      <c r="AD106" s="1"/>
    </row>
    <row r="107" spans="1:30" x14ac:dyDescent="0.2">
      <c r="A107" s="1"/>
      <c r="B107" s="656">
        <v>0.1</v>
      </c>
      <c r="C107" s="656">
        <v>0.1</v>
      </c>
      <c r="I107" s="1"/>
      <c r="J107" s="1"/>
      <c r="K107" s="1"/>
      <c r="L107" s="1"/>
      <c r="M107" s="1"/>
      <c r="N107" s="1"/>
      <c r="O107" s="1"/>
      <c r="P107" s="1"/>
      <c r="Q107" s="1"/>
      <c r="R107" s="1"/>
      <c r="S107" s="1"/>
      <c r="T107" s="1"/>
      <c r="U107" s="1"/>
      <c r="V107" s="1"/>
      <c r="W107" s="1"/>
      <c r="X107" s="1"/>
      <c r="Y107" s="1"/>
      <c r="Z107" s="1"/>
      <c r="AA107" s="1"/>
      <c r="AB107" s="1"/>
      <c r="AC107" s="1"/>
      <c r="AD107" s="1"/>
    </row>
    <row r="108" spans="1:30" x14ac:dyDescent="0.2">
      <c r="A108" s="43"/>
      <c r="B108" s="49"/>
      <c r="C108" s="2"/>
      <c r="I108" s="43"/>
      <c r="J108" s="43"/>
      <c r="K108" s="43"/>
      <c r="L108" s="43"/>
      <c r="M108" s="43"/>
      <c r="N108" s="43"/>
      <c r="O108" s="43"/>
      <c r="P108" s="43"/>
      <c r="Q108" s="43"/>
      <c r="R108" s="43"/>
      <c r="S108" s="43"/>
      <c r="T108" s="43"/>
      <c r="U108" s="43"/>
      <c r="V108" s="43"/>
      <c r="W108" s="43"/>
      <c r="X108" s="43"/>
      <c r="Y108" s="43"/>
      <c r="Z108" s="43"/>
      <c r="AA108" s="43"/>
      <c r="AB108" s="43"/>
      <c r="AC108" s="43"/>
      <c r="AD108" s="43"/>
    </row>
    <row r="109" spans="1:30" ht="50.1" customHeight="1" x14ac:dyDescent="0.2">
      <c r="A109" s="1"/>
      <c r="B109" s="1107" t="s">
        <v>255</v>
      </c>
      <c r="C109" s="1109"/>
      <c r="I109" s="1"/>
      <c r="J109" s="1"/>
      <c r="K109" s="1"/>
      <c r="L109" s="1"/>
      <c r="M109" s="1"/>
      <c r="N109" s="1"/>
      <c r="O109" s="1"/>
      <c r="P109" s="1"/>
      <c r="Q109" s="1"/>
      <c r="R109" s="1"/>
      <c r="S109" s="1"/>
      <c r="T109" s="1"/>
      <c r="U109" s="1"/>
      <c r="V109" s="1"/>
      <c r="W109" s="1"/>
      <c r="X109" s="1"/>
      <c r="Y109" s="1"/>
      <c r="Z109" s="1"/>
      <c r="AA109" s="1"/>
      <c r="AB109" s="1"/>
      <c r="AC109" s="1"/>
      <c r="AD109" s="1"/>
    </row>
    <row r="110" spans="1:30" ht="24.95" customHeight="1" x14ac:dyDescent="0.2">
      <c r="A110" s="1"/>
      <c r="B110" s="274" t="s">
        <v>258</v>
      </c>
      <c r="C110" s="274" t="s">
        <v>259</v>
      </c>
      <c r="I110" s="1"/>
      <c r="J110" s="1"/>
      <c r="K110" s="1"/>
      <c r="L110" s="1"/>
      <c r="M110" s="1"/>
      <c r="N110" s="1"/>
      <c r="O110" s="1"/>
      <c r="P110" s="1"/>
      <c r="Q110" s="1"/>
      <c r="R110" s="1"/>
      <c r="S110" s="1"/>
      <c r="T110" s="1"/>
      <c r="U110" s="1"/>
      <c r="V110" s="1"/>
      <c r="W110" s="1"/>
      <c r="X110" s="1"/>
      <c r="Y110" s="1"/>
      <c r="Z110" s="1"/>
      <c r="AA110" s="1"/>
      <c r="AB110" s="1"/>
      <c r="AC110" s="1"/>
      <c r="AD110" s="1"/>
    </row>
    <row r="111" spans="1:30" x14ac:dyDescent="0.2">
      <c r="A111" s="757" t="s">
        <v>356</v>
      </c>
      <c r="B111" s="656">
        <v>0.1</v>
      </c>
      <c r="C111" s="656">
        <v>0.1</v>
      </c>
      <c r="I111" s="1"/>
      <c r="J111" s="1"/>
      <c r="K111" s="1"/>
      <c r="L111" s="1"/>
      <c r="M111" s="1"/>
      <c r="N111" s="1"/>
      <c r="O111" s="1"/>
      <c r="P111" s="1"/>
      <c r="Q111" s="1"/>
      <c r="R111" s="1"/>
      <c r="S111" s="1"/>
      <c r="T111" s="1"/>
      <c r="U111" s="1"/>
      <c r="V111" s="1"/>
      <c r="W111" s="1"/>
      <c r="X111" s="1"/>
      <c r="Y111" s="1"/>
      <c r="Z111" s="1"/>
      <c r="AA111" s="1"/>
      <c r="AB111" s="1"/>
      <c r="AC111" s="1"/>
      <c r="AD111" s="1"/>
    </row>
    <row r="112" spans="1:30" x14ac:dyDescent="0.2">
      <c r="A112" s="757" t="s">
        <v>357</v>
      </c>
      <c r="B112" s="656">
        <v>0.2</v>
      </c>
      <c r="C112" s="656">
        <v>0</v>
      </c>
      <c r="I112" s="1"/>
      <c r="J112" s="1"/>
      <c r="K112" s="1"/>
      <c r="L112" s="1"/>
      <c r="M112" s="1"/>
      <c r="N112" s="1"/>
      <c r="O112" s="1"/>
      <c r="P112" s="1"/>
      <c r="Q112" s="1"/>
      <c r="R112" s="1"/>
      <c r="S112" s="1"/>
      <c r="T112" s="1"/>
      <c r="U112" s="1"/>
      <c r="V112" s="1"/>
      <c r="W112" s="1"/>
      <c r="X112" s="1"/>
      <c r="Y112" s="1"/>
      <c r="Z112" s="1"/>
      <c r="AA112" s="1"/>
      <c r="AB112" s="1"/>
      <c r="AC112" s="1"/>
      <c r="AD112" s="1"/>
    </row>
    <row r="113" spans="1:30" x14ac:dyDescent="0.2">
      <c r="A113" s="1"/>
      <c r="B113" s="53"/>
      <c r="C113" s="1"/>
      <c r="I113" s="1"/>
      <c r="J113" s="1"/>
      <c r="K113" s="1"/>
      <c r="L113" s="1"/>
      <c r="M113" s="1"/>
      <c r="N113" s="1"/>
      <c r="O113" s="1"/>
      <c r="P113" s="1"/>
      <c r="Q113" s="1"/>
      <c r="R113" s="1"/>
      <c r="S113" s="1"/>
      <c r="T113" s="1"/>
      <c r="U113" s="1"/>
      <c r="V113" s="1"/>
      <c r="W113" s="1"/>
      <c r="X113" s="1"/>
      <c r="Y113" s="1"/>
      <c r="Z113" s="1"/>
      <c r="AA113" s="1"/>
      <c r="AB113" s="1"/>
      <c r="AC113" s="1"/>
      <c r="AD113" s="1"/>
    </row>
    <row r="114" spans="1:30" ht="24.95" customHeight="1" x14ac:dyDescent="0.2">
      <c r="A114" s="1"/>
      <c r="B114" s="1107" t="s">
        <v>260</v>
      </c>
      <c r="C114" s="1109"/>
      <c r="I114" s="1"/>
      <c r="J114" s="1"/>
      <c r="K114" s="1"/>
      <c r="L114" s="1"/>
      <c r="M114" s="1"/>
      <c r="N114" s="1"/>
      <c r="O114" s="1"/>
      <c r="P114" s="1"/>
      <c r="Q114" s="1"/>
      <c r="R114" s="1"/>
      <c r="S114" s="1"/>
      <c r="T114" s="1"/>
      <c r="U114" s="1"/>
      <c r="V114" s="1"/>
      <c r="W114" s="1"/>
      <c r="X114" s="1"/>
      <c r="Y114" s="1"/>
      <c r="Z114" s="1"/>
      <c r="AA114" s="1"/>
      <c r="AB114" s="1"/>
      <c r="AC114" s="1"/>
      <c r="AD114" s="1"/>
    </row>
    <row r="115" spans="1:30" ht="24.95" customHeight="1" x14ac:dyDescent="0.2">
      <c r="B115" s="274" t="s">
        <v>258</v>
      </c>
      <c r="C115" s="274" t="s">
        <v>259</v>
      </c>
      <c r="D115" s="40"/>
      <c r="E115" s="1"/>
      <c r="F115" s="1"/>
    </row>
    <row r="116" spans="1:30" x14ac:dyDescent="0.2">
      <c r="B116" s="656">
        <v>0</v>
      </c>
      <c r="C116" s="656">
        <v>0</v>
      </c>
      <c r="D116" s="40"/>
      <c r="E116" s="1"/>
      <c r="F116" s="1"/>
    </row>
    <row r="117" spans="1:30" ht="12.75" customHeight="1" x14ac:dyDescent="0.2">
      <c r="B117" s="1"/>
      <c r="C117" s="1"/>
      <c r="D117" s="40"/>
      <c r="E117" s="1"/>
      <c r="F117" s="1"/>
    </row>
    <row r="118" spans="1:30" ht="24.95" customHeight="1" x14ac:dyDescent="0.2">
      <c r="B118" s="1107" t="s">
        <v>163</v>
      </c>
      <c r="C118" s="1109"/>
      <c r="D118" s="40"/>
      <c r="E118" s="1"/>
      <c r="F118" s="1"/>
    </row>
    <row r="119" spans="1:30" x14ac:dyDescent="0.2">
      <c r="B119" s="1146">
        <v>5</v>
      </c>
      <c r="C119" s="1147"/>
      <c r="D119" s="40"/>
      <c r="E119" s="1"/>
      <c r="F119" s="1"/>
    </row>
    <row r="120" spans="1:30" ht="12.75" customHeight="1" x14ac:dyDescent="0.2">
      <c r="B120" s="278"/>
      <c r="C120" s="278"/>
      <c r="D120" s="40"/>
      <c r="E120" s="1"/>
      <c r="F120" s="1"/>
    </row>
    <row r="121" spans="1:30" x14ac:dyDescent="0.2">
      <c r="B121" s="366" t="s">
        <v>330</v>
      </c>
      <c r="C121" s="1148" t="s">
        <v>329</v>
      </c>
      <c r="D121" s="1149"/>
      <c r="E121" s="1149"/>
      <c r="F121" s="1149"/>
      <c r="G121" s="1150"/>
      <c r="H121" s="727"/>
      <c r="I121" s="727"/>
      <c r="J121" s="727"/>
      <c r="K121" s="727"/>
      <c r="L121" s="727"/>
    </row>
    <row r="122" spans="1:30" x14ac:dyDescent="0.2">
      <c r="B122" s="1103" t="s">
        <v>331</v>
      </c>
      <c r="C122" s="1103"/>
      <c r="D122" s="1103"/>
      <c r="E122" s="1103"/>
      <c r="F122" s="1103"/>
      <c r="G122" s="1103"/>
      <c r="H122" s="1"/>
    </row>
    <row r="123" spans="1:30" x14ac:dyDescent="0.2">
      <c r="B123" s="1104"/>
      <c r="C123" s="1104"/>
      <c r="D123" s="1104"/>
      <c r="E123" s="1104"/>
      <c r="F123" s="1104"/>
      <c r="G123" s="1104"/>
      <c r="H123" s="1"/>
    </row>
    <row r="124" spans="1:30" ht="25.5" x14ac:dyDescent="0.2">
      <c r="B124" s="274" t="s">
        <v>67</v>
      </c>
      <c r="C124" s="274" t="s">
        <v>7</v>
      </c>
      <c r="D124" s="274" t="s">
        <v>80</v>
      </c>
      <c r="E124" s="277" t="s">
        <v>8</v>
      </c>
      <c r="F124" s="274" t="s">
        <v>5</v>
      </c>
      <c r="G124" s="274" t="s">
        <v>0</v>
      </c>
    </row>
    <row r="125" spans="1:30" x14ac:dyDescent="0.2">
      <c r="B125" s="292" t="s">
        <v>9</v>
      </c>
      <c r="C125" s="293">
        <v>0</v>
      </c>
      <c r="D125" s="294">
        <v>5</v>
      </c>
      <c r="E125" s="295">
        <v>0</v>
      </c>
      <c r="F125" s="296">
        <v>6</v>
      </c>
      <c r="G125" s="297">
        <v>5</v>
      </c>
    </row>
    <row r="126" spans="1:30" x14ac:dyDescent="0.2">
      <c r="B126" s="298" t="s">
        <v>10</v>
      </c>
      <c r="C126" s="299">
        <f t="shared" ref="C126:C135" si="0">D125+0.0000001</f>
        <v>5.0000001000000003</v>
      </c>
      <c r="D126" s="300">
        <v>10</v>
      </c>
      <c r="E126" s="301">
        <v>5</v>
      </c>
      <c r="F126" s="302">
        <v>6</v>
      </c>
      <c r="G126" s="303">
        <v>5</v>
      </c>
    </row>
    <row r="127" spans="1:30" x14ac:dyDescent="0.2">
      <c r="B127" s="298" t="s">
        <v>11</v>
      </c>
      <c r="C127" s="299">
        <f t="shared" si="0"/>
        <v>10.000000099999999</v>
      </c>
      <c r="D127" s="300">
        <v>15</v>
      </c>
      <c r="E127" s="301">
        <v>10</v>
      </c>
      <c r="F127" s="302">
        <v>6</v>
      </c>
      <c r="G127" s="303">
        <v>5</v>
      </c>
    </row>
    <row r="128" spans="1:30" x14ac:dyDescent="0.2">
      <c r="B128" s="298" t="s">
        <v>12</v>
      </c>
      <c r="C128" s="299">
        <f t="shared" si="0"/>
        <v>15.000000099999999</v>
      </c>
      <c r="D128" s="300">
        <v>20</v>
      </c>
      <c r="E128" s="301">
        <v>15</v>
      </c>
      <c r="F128" s="302">
        <v>8</v>
      </c>
      <c r="G128" s="303">
        <v>6</v>
      </c>
    </row>
    <row r="129" spans="2:7" x14ac:dyDescent="0.2">
      <c r="B129" s="298" t="s">
        <v>13</v>
      </c>
      <c r="C129" s="299">
        <f t="shared" si="0"/>
        <v>20.000000100000001</v>
      </c>
      <c r="D129" s="300">
        <v>25</v>
      </c>
      <c r="E129" s="301">
        <v>20</v>
      </c>
      <c r="F129" s="302">
        <v>8</v>
      </c>
      <c r="G129" s="303">
        <v>6</v>
      </c>
    </row>
    <row r="130" spans="2:7" x14ac:dyDescent="0.2">
      <c r="B130" s="298" t="s">
        <v>14</v>
      </c>
      <c r="C130" s="299">
        <f t="shared" si="0"/>
        <v>25.000000100000001</v>
      </c>
      <c r="D130" s="300">
        <v>30</v>
      </c>
      <c r="E130" s="301">
        <v>25</v>
      </c>
      <c r="F130" s="302">
        <v>8</v>
      </c>
      <c r="G130" s="303">
        <v>6</v>
      </c>
    </row>
    <row r="131" spans="2:7" x14ac:dyDescent="0.2">
      <c r="B131" s="298" t="s">
        <v>15</v>
      </c>
      <c r="C131" s="299">
        <f t="shared" si="0"/>
        <v>30.000000100000001</v>
      </c>
      <c r="D131" s="300">
        <v>35</v>
      </c>
      <c r="E131" s="301">
        <v>30</v>
      </c>
      <c r="F131" s="302">
        <v>8</v>
      </c>
      <c r="G131" s="303">
        <v>6</v>
      </c>
    </row>
    <row r="132" spans="2:7" x14ac:dyDescent="0.2">
      <c r="B132" s="298" t="s">
        <v>16</v>
      </c>
      <c r="C132" s="299">
        <f t="shared" si="0"/>
        <v>35.000000100000001</v>
      </c>
      <c r="D132" s="300">
        <v>40</v>
      </c>
      <c r="E132" s="301">
        <v>35</v>
      </c>
      <c r="F132" s="302">
        <v>8</v>
      </c>
      <c r="G132" s="303">
        <v>6</v>
      </c>
    </row>
    <row r="133" spans="2:7" x14ac:dyDescent="0.2">
      <c r="B133" s="298" t="s">
        <v>17</v>
      </c>
      <c r="C133" s="299">
        <f t="shared" si="0"/>
        <v>40.000000100000001</v>
      </c>
      <c r="D133" s="300">
        <v>45</v>
      </c>
      <c r="E133" s="301">
        <v>40</v>
      </c>
      <c r="F133" s="302">
        <v>18</v>
      </c>
      <c r="G133" s="303">
        <v>10</v>
      </c>
    </row>
    <row r="134" spans="2:7" x14ac:dyDescent="0.2">
      <c r="B134" s="298" t="s">
        <v>18</v>
      </c>
      <c r="C134" s="299">
        <f t="shared" si="0"/>
        <v>45.000000100000001</v>
      </c>
      <c r="D134" s="300">
        <v>50</v>
      </c>
      <c r="E134" s="301">
        <v>45</v>
      </c>
      <c r="F134" s="302">
        <v>18</v>
      </c>
      <c r="G134" s="303">
        <v>10</v>
      </c>
    </row>
    <row r="135" spans="2:7" ht="12.75" customHeight="1" x14ac:dyDescent="0.2">
      <c r="B135" s="304" t="s">
        <v>19</v>
      </c>
      <c r="C135" s="305">
        <f t="shared" si="0"/>
        <v>50.000000100000001</v>
      </c>
      <c r="D135" s="306">
        <v>999999</v>
      </c>
      <c r="E135" s="307">
        <v>50</v>
      </c>
      <c r="F135" s="308">
        <v>18</v>
      </c>
      <c r="G135" s="309">
        <v>10</v>
      </c>
    </row>
    <row r="136" spans="2:7" ht="12.75" customHeight="1" x14ac:dyDescent="0.2">
      <c r="B136" s="1103" t="s">
        <v>332</v>
      </c>
      <c r="C136" s="1103"/>
      <c r="D136" s="1103"/>
      <c r="E136" s="1103"/>
      <c r="F136" s="1103"/>
      <c r="G136" s="1103"/>
    </row>
    <row r="137" spans="2:7" x14ac:dyDescent="0.2">
      <c r="B137" s="1104"/>
      <c r="C137" s="1104"/>
      <c r="D137" s="1104"/>
      <c r="E137" s="1104"/>
      <c r="F137" s="1104"/>
      <c r="G137" s="1104"/>
    </row>
    <row r="138" spans="2:7" ht="25.5" x14ac:dyDescent="0.2">
      <c r="B138" s="728" t="s">
        <v>67</v>
      </c>
      <c r="C138" s="728" t="s">
        <v>7</v>
      </c>
      <c r="D138" s="728" t="s">
        <v>80</v>
      </c>
      <c r="E138" s="729" t="s">
        <v>8</v>
      </c>
      <c r="F138" s="728" t="s">
        <v>5</v>
      </c>
      <c r="G138" s="728" t="s">
        <v>0</v>
      </c>
    </row>
    <row r="139" spans="2:7" x14ac:dyDescent="0.2">
      <c r="B139" s="292" t="s">
        <v>9</v>
      </c>
      <c r="C139" s="730">
        <v>0</v>
      </c>
      <c r="D139" s="731">
        <v>5</v>
      </c>
      <c r="E139" s="295">
        <v>0</v>
      </c>
      <c r="F139" s="295">
        <v>7</v>
      </c>
      <c r="G139" s="732">
        <v>5</v>
      </c>
    </row>
    <row r="140" spans="2:7" x14ac:dyDescent="0.2">
      <c r="B140" s="733" t="s">
        <v>10</v>
      </c>
      <c r="C140" s="734">
        <f t="shared" ref="C140:C149" si="1">D139+0.0000001</f>
        <v>5.0000001000000003</v>
      </c>
      <c r="D140" s="735">
        <v>10</v>
      </c>
      <c r="E140" s="301">
        <v>5</v>
      </c>
      <c r="F140" s="301">
        <v>7</v>
      </c>
      <c r="G140" s="736">
        <v>5</v>
      </c>
    </row>
    <row r="141" spans="2:7" x14ac:dyDescent="0.2">
      <c r="B141" s="733" t="s">
        <v>11</v>
      </c>
      <c r="C141" s="734">
        <f t="shared" si="1"/>
        <v>10.000000099999999</v>
      </c>
      <c r="D141" s="735">
        <v>15</v>
      </c>
      <c r="E141" s="301">
        <v>10</v>
      </c>
      <c r="F141" s="301">
        <v>7</v>
      </c>
      <c r="G141" s="736">
        <v>5</v>
      </c>
    </row>
    <row r="142" spans="2:7" x14ac:dyDescent="0.2">
      <c r="B142" s="733" t="s">
        <v>12</v>
      </c>
      <c r="C142" s="734">
        <f t="shared" si="1"/>
        <v>15.000000099999999</v>
      </c>
      <c r="D142" s="735">
        <v>20</v>
      </c>
      <c r="E142" s="301">
        <v>15</v>
      </c>
      <c r="F142" s="301">
        <v>10</v>
      </c>
      <c r="G142" s="736">
        <v>6</v>
      </c>
    </row>
    <row r="143" spans="2:7" x14ac:dyDescent="0.2">
      <c r="B143" s="733" t="s">
        <v>13</v>
      </c>
      <c r="C143" s="734">
        <f t="shared" si="1"/>
        <v>20.000000100000001</v>
      </c>
      <c r="D143" s="735">
        <v>25</v>
      </c>
      <c r="E143" s="301">
        <v>20</v>
      </c>
      <c r="F143" s="301">
        <v>10</v>
      </c>
      <c r="G143" s="736">
        <v>6</v>
      </c>
    </row>
    <row r="144" spans="2:7" x14ac:dyDescent="0.2">
      <c r="B144" s="733" t="s">
        <v>14</v>
      </c>
      <c r="C144" s="734">
        <f t="shared" si="1"/>
        <v>25.000000100000001</v>
      </c>
      <c r="D144" s="735">
        <v>30</v>
      </c>
      <c r="E144" s="301">
        <v>25</v>
      </c>
      <c r="F144" s="301">
        <v>10</v>
      </c>
      <c r="G144" s="736">
        <v>6</v>
      </c>
    </row>
    <row r="145" spans="2:7" x14ac:dyDescent="0.2">
      <c r="B145" s="733" t="s">
        <v>15</v>
      </c>
      <c r="C145" s="734">
        <f t="shared" si="1"/>
        <v>30.000000100000001</v>
      </c>
      <c r="D145" s="735">
        <v>35</v>
      </c>
      <c r="E145" s="301">
        <v>30</v>
      </c>
      <c r="F145" s="301">
        <v>10</v>
      </c>
      <c r="G145" s="736">
        <v>6</v>
      </c>
    </row>
    <row r="146" spans="2:7" x14ac:dyDescent="0.2">
      <c r="B146" s="733" t="s">
        <v>16</v>
      </c>
      <c r="C146" s="734">
        <f t="shared" si="1"/>
        <v>35.000000100000001</v>
      </c>
      <c r="D146" s="735">
        <v>40</v>
      </c>
      <c r="E146" s="301">
        <v>35</v>
      </c>
      <c r="F146" s="301">
        <v>10</v>
      </c>
      <c r="G146" s="736">
        <v>6</v>
      </c>
    </row>
    <row r="147" spans="2:7" x14ac:dyDescent="0.2">
      <c r="B147" s="733" t="s">
        <v>17</v>
      </c>
      <c r="C147" s="734">
        <f t="shared" si="1"/>
        <v>40.000000100000001</v>
      </c>
      <c r="D147" s="735">
        <v>45</v>
      </c>
      <c r="E147" s="301">
        <v>40</v>
      </c>
      <c r="F147" s="301">
        <v>20</v>
      </c>
      <c r="G147" s="736">
        <v>15</v>
      </c>
    </row>
    <row r="148" spans="2:7" x14ac:dyDescent="0.2">
      <c r="B148" s="733" t="s">
        <v>18</v>
      </c>
      <c r="C148" s="734">
        <f t="shared" si="1"/>
        <v>45.000000100000001</v>
      </c>
      <c r="D148" s="735">
        <v>50</v>
      </c>
      <c r="E148" s="301">
        <v>45</v>
      </c>
      <c r="F148" s="301">
        <v>20</v>
      </c>
      <c r="G148" s="736">
        <v>15</v>
      </c>
    </row>
    <row r="149" spans="2:7" x14ac:dyDescent="0.2">
      <c r="B149" s="737" t="s">
        <v>19</v>
      </c>
      <c r="C149" s="738">
        <f t="shared" si="1"/>
        <v>50.000000100000001</v>
      </c>
      <c r="D149" s="739">
        <v>999999</v>
      </c>
      <c r="E149" s="307">
        <v>50</v>
      </c>
      <c r="F149" s="307">
        <v>20</v>
      </c>
      <c r="G149" s="740">
        <v>15</v>
      </c>
    </row>
    <row r="150" spans="2:7" x14ac:dyDescent="0.2"/>
    <row r="151" spans="2:7" hidden="1" x14ac:dyDescent="0.2"/>
    <row r="152" spans="2:7" hidden="1" x14ac:dyDescent="0.2"/>
    <row r="153" spans="2:7" hidden="1" x14ac:dyDescent="0.2"/>
    <row r="154" spans="2:7" hidden="1" x14ac:dyDescent="0.2"/>
    <row r="155" spans="2:7" hidden="1" x14ac:dyDescent="0.2"/>
    <row r="156" spans="2:7" hidden="1" x14ac:dyDescent="0.2"/>
    <row r="157" spans="2:7" hidden="1" x14ac:dyDescent="0.2"/>
    <row r="158" spans="2:7" hidden="1" x14ac:dyDescent="0.2"/>
    <row r="159" spans="2:7" hidden="1" x14ac:dyDescent="0.2"/>
    <row r="160" spans="2:7"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x14ac:dyDescent="0.2"/>
    <row r="172" x14ac:dyDescent="0.2"/>
  </sheetData>
  <sheetProtection password="83CC" sheet="1" objects="1" scenarios="1" formatColumns="0" formatRows="0" insertRows="0"/>
  <mergeCells count="86">
    <mergeCell ref="AC2:AD2"/>
    <mergeCell ref="C82:L82"/>
    <mergeCell ref="C83:L83"/>
    <mergeCell ref="B94:L94"/>
    <mergeCell ref="C77:L77"/>
    <mergeCell ref="C78:L78"/>
    <mergeCell ref="C79:L79"/>
    <mergeCell ref="C80:L80"/>
    <mergeCell ref="C81:L81"/>
    <mergeCell ref="C84:L84"/>
    <mergeCell ref="C90:D90"/>
    <mergeCell ref="B28:B30"/>
    <mergeCell ref="B31:B33"/>
    <mergeCell ref="B34:B36"/>
    <mergeCell ref="B37:B39"/>
    <mergeCell ref="B40:B42"/>
    <mergeCell ref="B118:C118"/>
    <mergeCell ref="B119:C119"/>
    <mergeCell ref="B114:C114"/>
    <mergeCell ref="C121:G121"/>
    <mergeCell ref="AA2:AB2"/>
    <mergeCell ref="B109:C109"/>
    <mergeCell ref="C52:L52"/>
    <mergeCell ref="C87:D87"/>
    <mergeCell ref="C100:D100"/>
    <mergeCell ref="C91:D91"/>
    <mergeCell ref="C92:D92"/>
    <mergeCell ref="B105:C105"/>
    <mergeCell ref="C96:D96"/>
    <mergeCell ref="C97:D97"/>
    <mergeCell ref="C98:D98"/>
    <mergeCell ref="C99:D99"/>
    <mergeCell ref="B43:B45"/>
    <mergeCell ref="B46:B48"/>
    <mergeCell ref="B103:C103"/>
    <mergeCell ref="B102:C102"/>
    <mergeCell ref="C95:D95"/>
    <mergeCell ref="C56:L56"/>
    <mergeCell ref="C57:L57"/>
    <mergeCell ref="C58:L58"/>
    <mergeCell ref="C72:L72"/>
    <mergeCell ref="C73:L73"/>
    <mergeCell ref="C59:L59"/>
    <mergeCell ref="C60:L60"/>
    <mergeCell ref="C61:L61"/>
    <mergeCell ref="C62:L62"/>
    <mergeCell ref="C63:L63"/>
    <mergeCell ref="C67:L67"/>
    <mergeCell ref="B22:B24"/>
    <mergeCell ref="B25:B27"/>
    <mergeCell ref="Y2:Z2"/>
    <mergeCell ref="G2:H2"/>
    <mergeCell ref="I2:J2"/>
    <mergeCell ref="K2:L2"/>
    <mergeCell ref="E2:F2"/>
    <mergeCell ref="S2:T2"/>
    <mergeCell ref="O2:P2"/>
    <mergeCell ref="C2:D2"/>
    <mergeCell ref="B4:B6"/>
    <mergeCell ref="B7:B9"/>
    <mergeCell ref="B10:B12"/>
    <mergeCell ref="B13:B15"/>
    <mergeCell ref="B16:B18"/>
    <mergeCell ref="B19:B21"/>
    <mergeCell ref="C68:L68"/>
    <mergeCell ref="M2:N2"/>
    <mergeCell ref="Q2:R2"/>
    <mergeCell ref="C54:L54"/>
    <mergeCell ref="C55:L55"/>
    <mergeCell ref="C53:L53"/>
    <mergeCell ref="B122:G123"/>
    <mergeCell ref="B136:G137"/>
    <mergeCell ref="U2:V2"/>
    <mergeCell ref="C71:L71"/>
    <mergeCell ref="W2:X2"/>
    <mergeCell ref="C89:D89"/>
    <mergeCell ref="C88:D88"/>
    <mergeCell ref="C64:L64"/>
    <mergeCell ref="C74:L74"/>
    <mergeCell ref="C75:L75"/>
    <mergeCell ref="C76:L76"/>
    <mergeCell ref="B51:L51"/>
    <mergeCell ref="B70:L70"/>
    <mergeCell ref="B86:L86"/>
    <mergeCell ref="C65:L65"/>
    <mergeCell ref="C66:L66"/>
  </mergeCells>
  <conditionalFormatting sqref="C121:G121">
    <cfRule type="expression" dxfId="9" priority="2" stopIfTrue="1">
      <formula>AND(selezione_passo_descrizione_intervento="x",selezione_cambio_uso="o",selezione_calcolo_completo="o")</formula>
    </cfRule>
    <cfRule type="expression" dxfId="8" priority="3" stopIfTrue="1">
      <formula>AND(selezione_passo_descrizione_intervento="x",selezione_cambio_uso="x",selezione_calcolo_completo="o")</formula>
    </cfRule>
    <cfRule type="expression" dxfId="7" priority="4" stopIfTrue="1">
      <formula>AND(selezione_passo_descrizione_intervento="x",selezione_sottotetti="o",selezione_calcolo_completo="o")</formula>
    </cfRule>
    <cfRule type="expression" dxfId="6" priority="5" stopIfTrue="1">
      <formula>AND(selezione_passo_descrizione_intervento="x",selezione_sottotetti="x",selezione_calcolo_completo="o")</formula>
    </cfRule>
    <cfRule type="expression" dxfId="5" priority="6" stopIfTrue="1">
      <formula>AND(selezione_passo_descrizione_intervento="x",selezione_ristrutturazione="o",selezione_calcolo_completo="o")</formula>
    </cfRule>
    <cfRule type="expression" dxfId="4" priority="7" stopIfTrue="1">
      <formula>AND(selezione_passo_descrizione_intervento="x",selezione_ampliamento="o",selezione_calcolo_completo="o")</formula>
    </cfRule>
    <cfRule type="expression" dxfId="3" priority="8" stopIfTrue="1">
      <formula>AND(selezione_passo_descrizione_intervento="x",selezione_ampliamento="x",selezione_calcolo_completo="o")</formula>
    </cfRule>
    <cfRule type="expression" dxfId="2" priority="9" stopIfTrue="1">
      <formula>AND(selezione_passo_descrizione_intervento="x",selezione_nuova_costruzione="o",selezione_calcolo_completo="o")</formula>
    </cfRule>
    <cfRule type="expression" dxfId="1" priority="10" stopIfTrue="1">
      <formula>AND(selezione_passo_descrizione_intervento="x",selezione_nuova_costruzione="x",selezione_calcolo_completo="o")</formula>
    </cfRule>
  </conditionalFormatting>
  <conditionalFormatting sqref="C121:G121">
    <cfRule type="expression" dxfId="0" priority="1" stopIfTrue="1">
      <formula>AND(selezione_passo_descrizione_intervento="x",selezione_ristrutturazione="x",selezione_costo_costr_comp_ristrutturazione="x")</formula>
    </cfRule>
  </conditionalFormatting>
  <dataValidations disablePrompts="1" count="1">
    <dataValidation type="list" allowBlank="1" showInputMessage="1" showErrorMessage="1" sqref="C121:G121">
      <formula1>"Comune con meno di 50.000 abitanti,Comune con più di 50.000 abitanti"</formula1>
    </dataValidation>
  </dataValidations>
  <pageMargins left="0.65811023622047249" right="0.11811023622047245" top="0.35433070866141736" bottom="0.35433070866141736" header="0.31496062992125984" footer="0.31496062992125984"/>
  <pageSetup paperSize="9" scale="48"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0"/>
  <dimension ref="A1:T2"/>
  <sheetViews>
    <sheetView topLeftCell="F1" workbookViewId="0">
      <selection activeCell="T2" sqref="T2"/>
    </sheetView>
  </sheetViews>
  <sheetFormatPr defaultRowHeight="12.75" x14ac:dyDescent="0.2"/>
  <cols>
    <col min="1" max="1" width="13.5703125" bestFit="1" customWidth="1"/>
    <col min="2" max="2" width="15.28515625" bestFit="1" customWidth="1"/>
    <col min="3" max="3" width="13.5703125" bestFit="1" customWidth="1"/>
    <col min="4" max="4" width="13.42578125" customWidth="1"/>
    <col min="5" max="5" width="13.5703125" bestFit="1" customWidth="1"/>
    <col min="6" max="8" width="13.5703125" customWidth="1"/>
    <col min="9" max="10" width="10.5703125" bestFit="1" customWidth="1"/>
    <col min="11" max="11" width="11.42578125" bestFit="1" customWidth="1"/>
    <col min="12" max="12" width="10.7109375" bestFit="1" customWidth="1"/>
    <col min="13" max="13" width="15.5703125" customWidth="1"/>
    <col min="14" max="14" width="13.140625" customWidth="1"/>
    <col min="15" max="15" width="15.7109375" customWidth="1"/>
    <col min="16" max="16" width="13.140625" bestFit="1" customWidth="1"/>
    <col min="17" max="17" width="13" customWidth="1"/>
    <col min="18" max="18" width="14.28515625" bestFit="1" customWidth="1"/>
    <col min="19" max="19" width="13.7109375" customWidth="1"/>
    <col min="20" max="20" width="14.140625" bestFit="1" customWidth="1"/>
  </cols>
  <sheetData>
    <row r="1" spans="1:20" ht="51" x14ac:dyDescent="0.2">
      <c r="A1" s="48" t="s">
        <v>145</v>
      </c>
      <c r="B1" s="48" t="s">
        <v>146</v>
      </c>
      <c r="C1" s="4" t="s">
        <v>147</v>
      </c>
      <c r="D1" s="4" t="s">
        <v>148</v>
      </c>
      <c r="E1" s="48" t="s">
        <v>153</v>
      </c>
      <c r="F1" s="48" t="s">
        <v>155</v>
      </c>
      <c r="G1" s="48" t="s">
        <v>152</v>
      </c>
      <c r="H1" s="4" t="s">
        <v>151</v>
      </c>
      <c r="I1" s="4" t="s">
        <v>94</v>
      </c>
      <c r="J1" s="48" t="s">
        <v>79</v>
      </c>
      <c r="K1" s="4" t="s">
        <v>85</v>
      </c>
      <c r="L1" s="4" t="s">
        <v>149</v>
      </c>
      <c r="M1" s="4" t="s">
        <v>95</v>
      </c>
      <c r="N1" s="4" t="s">
        <v>109</v>
      </c>
      <c r="O1" s="4" t="s">
        <v>97</v>
      </c>
      <c r="P1" s="48" t="s">
        <v>164</v>
      </c>
      <c r="Q1" s="48" t="s">
        <v>154</v>
      </c>
      <c r="R1" s="48" t="s">
        <v>229</v>
      </c>
      <c r="S1" s="4" t="s">
        <v>81</v>
      </c>
      <c r="T1" s="48" t="s">
        <v>353</v>
      </c>
    </row>
    <row r="2" spans="1:20" x14ac:dyDescent="0.2">
      <c r="A2" s="3">
        <f>ROUND(Riepilogo_OneriUrbPrim,2)</f>
        <v>0</v>
      </c>
      <c r="B2" s="3">
        <f>ROUND(Riepilogo_OneriSecPrim,2)</f>
        <v>0</v>
      </c>
      <c r="C2" s="3">
        <f>ROUND(Riepilogo_OneriUrbPrimSott,2)</f>
        <v>0</v>
      </c>
      <c r="D2" s="3">
        <f>ROUND(Riepilogo_OneriUrbSecSott,2)</f>
        <v>0</v>
      </c>
      <c r="E2" s="3">
        <f>ROUND((Riepilogo_OneriUrbPrim+Riepilogo_OneriSecPrim),2)</f>
        <v>0</v>
      </c>
      <c r="F2" s="3">
        <f>ROUND(Oneri_Urb_Prim_Corrisposti,2)</f>
        <v>0</v>
      </c>
      <c r="G2" s="3">
        <f>ROUND(Oneri_Urb_Sec_Corrisposti,2)</f>
        <v>0</v>
      </c>
      <c r="H2" s="3">
        <f>ROUND(Costo_costruzione_Corrisposto+CostoCostr_Prog_StFatto_corrisposto,2)</f>
        <v>0</v>
      </c>
      <c r="I2" s="3">
        <f ca="1">ROUND(Riepilogo_CostoCostSott,2)</f>
        <v>0</v>
      </c>
      <c r="J2" s="3">
        <f ca="1">ROUND(Riepilogo_CostoCostruzione_totale,2)</f>
        <v>0</v>
      </c>
      <c r="K2" s="3">
        <f>ROUND(Riepilogo_Cc_OneriSmaltRifiutiRif,2)</f>
        <v>0</v>
      </c>
      <c r="L2" s="257">
        <f>ROUND(Riepilogo_Sanzione,2)</f>
        <v>0</v>
      </c>
      <c r="M2" s="3">
        <f>ROUND(Riepilogo_MaggOneriUrbPrimSott,2)</f>
        <v>0</v>
      </c>
      <c r="N2" s="3">
        <f>ROUND(Riepilogo_MaggOneriUrbSecSott,2)</f>
        <v>0</v>
      </c>
      <c r="O2" s="3">
        <f ca="1">ROUND(Riepilogo_MaggCostoCostSott,2)</f>
        <v>0</v>
      </c>
      <c r="P2" s="3">
        <f>ROUND(Riepilogo_OnUrb_AltriCosti_ValoreMaggCostoCAreeAgr+Riepilogo_CC_AltriCosti_ValoreMaggCostoCAreeAgr,2)</f>
        <v>0</v>
      </c>
      <c r="Q2" s="3">
        <f ca="1">ROUND(Riepilogo_Contributo_costruzione,2)</f>
        <v>0</v>
      </c>
      <c r="R2" s="3">
        <f ca="1">ROUND(Riepilogo_ContCostCompresaMagg,2)</f>
        <v>0</v>
      </c>
      <c r="S2" s="3">
        <f>ROUND(Riepilogo_MonetizzParcheggi,2)</f>
        <v>0</v>
      </c>
      <c r="T2" s="3">
        <f>ROUND(Riepilogo_MonetizzAreeStand,2)</f>
        <v>0</v>
      </c>
    </row>
  </sheetData>
  <sheetProtection formatColumns="0" formatRows="0" insertRows="0"/>
  <phoneticPr fontId="50"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D9" sqref="D9"/>
    </sheetView>
  </sheetViews>
  <sheetFormatPr defaultRowHeight="12.75" x14ac:dyDescent="0.2"/>
  <cols>
    <col min="2" max="2" width="10.140625" bestFit="1" customWidth="1"/>
    <col min="3" max="3" width="10.85546875" customWidth="1"/>
    <col min="4" max="4" width="52.42578125" customWidth="1"/>
  </cols>
  <sheetData>
    <row r="1" spans="1:4" x14ac:dyDescent="0.2">
      <c r="A1" t="s">
        <v>173</v>
      </c>
      <c r="B1" t="s">
        <v>167</v>
      </c>
      <c r="C1" t="s">
        <v>168</v>
      </c>
      <c r="D1" t="s">
        <v>170</v>
      </c>
    </row>
    <row r="2" spans="1:4" x14ac:dyDescent="0.2">
      <c r="A2" t="s">
        <v>176</v>
      </c>
      <c r="B2" s="55">
        <v>41204</v>
      </c>
      <c r="C2" t="s">
        <v>169</v>
      </c>
      <c r="D2" t="s">
        <v>171</v>
      </c>
    </row>
    <row r="3" spans="1:4" x14ac:dyDescent="0.2">
      <c r="A3" t="s">
        <v>175</v>
      </c>
      <c r="B3" s="55">
        <v>41206</v>
      </c>
      <c r="C3" t="s">
        <v>169</v>
      </c>
      <c r="D3" t="s">
        <v>172</v>
      </c>
    </row>
    <row r="4" spans="1:4" x14ac:dyDescent="0.2">
      <c r="A4" t="s">
        <v>174</v>
      </c>
      <c r="B4" s="55">
        <v>41225</v>
      </c>
      <c r="C4" t="s">
        <v>169</v>
      </c>
      <c r="D4" t="s">
        <v>177</v>
      </c>
    </row>
    <row r="5" spans="1:4" x14ac:dyDescent="0.2">
      <c r="A5" t="s">
        <v>183</v>
      </c>
      <c r="B5" s="55">
        <v>41235</v>
      </c>
      <c r="C5" t="s">
        <v>169</v>
      </c>
      <c r="D5" t="s">
        <v>184</v>
      </c>
    </row>
    <row r="6" spans="1:4" x14ac:dyDescent="0.2">
      <c r="A6" t="s">
        <v>319</v>
      </c>
      <c r="B6" s="55">
        <v>41425</v>
      </c>
      <c r="C6" t="s">
        <v>320</v>
      </c>
      <c r="D6" t="s">
        <v>321</v>
      </c>
    </row>
    <row r="7" spans="1:4" x14ac:dyDescent="0.2">
      <c r="A7" t="s">
        <v>326</v>
      </c>
      <c r="B7" s="55">
        <v>41456</v>
      </c>
      <c r="C7" t="s">
        <v>169</v>
      </c>
      <c r="D7" t="s">
        <v>327</v>
      </c>
    </row>
    <row r="8" spans="1:4" x14ac:dyDescent="0.2">
      <c r="A8" t="s">
        <v>326</v>
      </c>
      <c r="B8" s="55">
        <v>41460</v>
      </c>
      <c r="C8" t="s">
        <v>169</v>
      </c>
      <c r="D8" s="391" t="s">
        <v>328</v>
      </c>
    </row>
  </sheetData>
  <sheetProtection formatColumns="0" formatRows="0" insertRow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6">
    <pageSetUpPr fitToPage="1"/>
  </sheetPr>
  <dimension ref="A1:IS146"/>
  <sheetViews>
    <sheetView showGridLines="0" showZeros="0" zoomScaleNormal="100" workbookViewId="0"/>
  </sheetViews>
  <sheetFormatPr defaultColWidth="0" defaultRowHeight="12.75" zeroHeight="1" x14ac:dyDescent="0.2"/>
  <cols>
    <col min="1" max="1" width="5.7109375" style="2" customWidth="1"/>
    <col min="2" max="2" width="47.42578125" style="1" customWidth="1"/>
    <col min="3" max="3" width="34.5703125" style="1" customWidth="1"/>
    <col min="4" max="4" width="12.42578125" style="1" customWidth="1"/>
    <col min="5" max="5" width="15.140625" style="1" customWidth="1"/>
    <col min="6" max="6" width="2" style="1" customWidth="1"/>
    <col min="7" max="7" width="18.7109375" style="1" customWidth="1"/>
    <col min="8" max="8" width="2.28515625" style="1" hidden="1" customWidth="1"/>
    <col min="9" max="9" width="9.140625" style="1" hidden="1" customWidth="1"/>
    <col min="10" max="253" width="0" style="1" hidden="1"/>
    <col min="254" max="254" width="14.28515625" style="1" hidden="1" customWidth="1"/>
    <col min="255" max="16384" width="14.28515625" style="1" hidden="1"/>
  </cols>
  <sheetData>
    <row r="1" spans="1:9" ht="12.75" customHeight="1" thickBot="1" x14ac:dyDescent="0.25">
      <c r="A1" s="26"/>
      <c r="B1" s="2"/>
      <c r="C1" s="2"/>
      <c r="D1" s="2"/>
      <c r="E1" s="2"/>
      <c r="F1" s="2"/>
    </row>
    <row r="2" spans="1:9" ht="15" customHeight="1" x14ac:dyDescent="0.2">
      <c r="A2" s="37"/>
      <c r="B2" s="838" t="s">
        <v>203</v>
      </c>
      <c r="C2" s="839"/>
      <c r="D2" s="839"/>
      <c r="E2" s="839"/>
      <c r="F2" s="840"/>
      <c r="I2" s="39"/>
    </row>
    <row r="3" spans="1:9" ht="12.75" customHeight="1" x14ac:dyDescent="0.2">
      <c r="A3" s="36"/>
      <c r="B3" s="849" t="s">
        <v>190</v>
      </c>
      <c r="C3" s="850"/>
      <c r="D3" s="850"/>
      <c r="E3" s="850"/>
      <c r="F3" s="851"/>
      <c r="G3" s="120"/>
    </row>
    <row r="4" spans="1:9" ht="12.75" customHeight="1" x14ac:dyDescent="0.2">
      <c r="A4" s="36"/>
      <c r="B4" s="836" t="s">
        <v>333</v>
      </c>
      <c r="C4" s="837"/>
      <c r="D4" s="78"/>
      <c r="E4" s="79">
        <f>ROUND(ImportoOneriUrb1-Riepilogo_OneriUrbPrimSott,2)</f>
        <v>0</v>
      </c>
      <c r="F4" s="56"/>
      <c r="G4" s="26"/>
      <c r="I4"/>
    </row>
    <row r="5" spans="1:9" ht="12.75" customHeight="1" x14ac:dyDescent="0.2">
      <c r="A5" s="36"/>
      <c r="B5" s="741" t="s">
        <v>334</v>
      </c>
      <c r="C5" s="742"/>
      <c r="D5" s="78"/>
      <c r="E5" s="79">
        <f>IF(ImportoOneriUrbanizzazione_NuovaDest&gt;0,ImportoOneriUrb1_NuovaDest,0)</f>
        <v>0</v>
      </c>
      <c r="F5" s="56"/>
      <c r="G5" s="26"/>
      <c r="I5"/>
    </row>
    <row r="6" spans="1:9" ht="12.75" customHeight="1" x14ac:dyDescent="0.2">
      <c r="A6" s="36"/>
      <c r="B6" s="834" t="s">
        <v>191</v>
      </c>
      <c r="C6" s="835"/>
      <c r="D6" s="78"/>
      <c r="E6" s="80">
        <f>ImportoOneriUrbRecSottPrimaria</f>
        <v>0</v>
      </c>
      <c r="F6" s="56"/>
      <c r="G6" s="26"/>
      <c r="I6"/>
    </row>
    <row r="7" spans="1:9" ht="12.75" customHeight="1" x14ac:dyDescent="0.2">
      <c r="A7" s="36"/>
      <c r="B7" s="834" t="s">
        <v>192</v>
      </c>
      <c r="C7" s="835"/>
      <c r="D7" s="78" t="str">
        <f>CC_AltriCosti_ValoreMaggOnPrimRecSott_Etic</f>
        <v/>
      </c>
      <c r="E7" s="79">
        <f>CC_AltriCosti_ValoreMaggOnPrimRecSott</f>
        <v>0</v>
      </c>
      <c r="F7" s="56"/>
      <c r="G7" s="833" t="s">
        <v>293</v>
      </c>
      <c r="I7"/>
    </row>
    <row r="8" spans="1:9" ht="12.75" customHeight="1" x14ac:dyDescent="0.2">
      <c r="A8" s="36"/>
      <c r="B8" s="834" t="s">
        <v>194</v>
      </c>
      <c r="C8" s="835"/>
      <c r="D8" s="78" t="str">
        <f>IF(Riepilogo_SanzioneOneriUrbPrim&gt;0,IF(Riepilogo_SanzioneOneriUrbPrim&gt;0,"","Nessuna"),"")</f>
        <v/>
      </c>
      <c r="E8" s="80">
        <f>CC_SanzioneOneriUrbPrim</f>
        <v>0</v>
      </c>
      <c r="F8" s="56"/>
      <c r="G8" s="833"/>
      <c r="I8"/>
    </row>
    <row r="9" spans="1:9" ht="12.75" customHeight="1" x14ac:dyDescent="0.2">
      <c r="A9" s="36"/>
      <c r="B9" s="836" t="s">
        <v>195</v>
      </c>
      <c r="C9" s="837"/>
      <c r="D9" s="78" t="str">
        <f>IF(Riepilogo_RiduPianoCasaOneriUrbPrim&gt;0,IF(Par_PianoCasa_Rid&gt;0, TEXT(Par_PianoCasa_Rid,"0%")&amp;" a dedurre","Nessuna"),"")</f>
        <v/>
      </c>
      <c r="E9" s="79">
        <f>OnPrim_RiduzionePianoCasa</f>
        <v>0</v>
      </c>
      <c r="F9" s="59"/>
      <c r="I9"/>
    </row>
    <row r="10" spans="1:9" ht="12.75" customHeight="1" x14ac:dyDescent="0.2">
      <c r="A10" s="36"/>
      <c r="B10" s="834" t="s">
        <v>193</v>
      </c>
      <c r="C10" s="835"/>
      <c r="D10" s="78" t="str">
        <f>IF(Oneri_Urb_Prim_Corrisposti&gt;0," a dedurre","")</f>
        <v/>
      </c>
      <c r="E10" s="80">
        <f>Oneri_Urb_Prim_Corrisposti</f>
        <v>0</v>
      </c>
      <c r="F10" s="56"/>
      <c r="G10" s="33"/>
      <c r="I10"/>
    </row>
    <row r="11" spans="1:9" ht="12.75" customHeight="1" x14ac:dyDescent="0.2">
      <c r="A11" s="36"/>
      <c r="B11" s="845" t="s">
        <v>105</v>
      </c>
      <c r="C11" s="846"/>
      <c r="D11" s="78"/>
      <c r="E11" s="109">
        <f>ROUND(Riepilogo_OneriUrbPrimEsclusoSott+Riepilogo_OneriUrbPrimCambioUso+Riepilogo_OneriUrbPrimSott+Riepilogo_MaggOneriUrbPrimSott-Oneri_Urb_Prim_Corrisposti+Riepilogo_SanzioneOneriUrbPrim-OnPrim_RiduzionePianoCasa,2)</f>
        <v>0</v>
      </c>
      <c r="F11" s="56"/>
      <c r="G11" s="33"/>
      <c r="I11"/>
    </row>
    <row r="12" spans="1:9" ht="12.75" customHeight="1" x14ac:dyDescent="0.2">
      <c r="A12" s="36"/>
      <c r="B12" s="849" t="s">
        <v>201</v>
      </c>
      <c r="C12" s="850"/>
      <c r="D12" s="850"/>
      <c r="E12" s="850"/>
      <c r="F12" s="851"/>
      <c r="G12" s="26"/>
    </row>
    <row r="13" spans="1:9" ht="12.75" customHeight="1" x14ac:dyDescent="0.2">
      <c r="A13" s="36"/>
      <c r="B13" s="836" t="s">
        <v>333</v>
      </c>
      <c r="C13" s="837"/>
      <c r="D13" s="78"/>
      <c r="E13" s="79">
        <f>ROUND(ImportoOneriUrb2-Riepilogo_OneriUrbSecSott,2)</f>
        <v>0</v>
      </c>
      <c r="F13" s="56"/>
      <c r="I13"/>
    </row>
    <row r="14" spans="1:9" ht="12.75" customHeight="1" x14ac:dyDescent="0.2">
      <c r="A14" s="36"/>
      <c r="B14" s="741" t="s">
        <v>334</v>
      </c>
      <c r="C14" s="742"/>
      <c r="D14" s="78"/>
      <c r="E14" s="80">
        <f>IF(ImportoOneriUrbanizzazione_NuovaDest&gt;0,ImportoOneriUrb2_NuovaDest,0)</f>
        <v>0</v>
      </c>
      <c r="F14" s="56"/>
      <c r="I14"/>
    </row>
    <row r="15" spans="1:9" ht="12.75" customHeight="1" x14ac:dyDescent="0.2">
      <c r="A15" s="36"/>
      <c r="B15" s="834" t="s">
        <v>191</v>
      </c>
      <c r="C15" s="835"/>
      <c r="D15" s="78"/>
      <c r="E15" s="80">
        <f>ImportoOneriUrbRecSottSecondaria</f>
        <v>0</v>
      </c>
      <c r="F15" s="56"/>
      <c r="I15"/>
    </row>
    <row r="16" spans="1:9" ht="12.75" customHeight="1" x14ac:dyDescent="0.2">
      <c r="A16" s="36"/>
      <c r="B16" s="834" t="s">
        <v>192</v>
      </c>
      <c r="C16" s="835"/>
      <c r="D16" s="78" t="str">
        <f>CC_AltriCosti_ValoreMaggOnRecSott_Etic</f>
        <v/>
      </c>
      <c r="E16" s="79">
        <f>CC_AltriCosti_ValoreMaggOnRecSott</f>
        <v>0</v>
      </c>
      <c r="F16" s="56"/>
      <c r="I16"/>
    </row>
    <row r="17" spans="1:10" ht="12.75" customHeight="1" x14ac:dyDescent="0.2">
      <c r="A17" s="36"/>
      <c r="B17" s="834" t="s">
        <v>194</v>
      </c>
      <c r="C17" s="835"/>
      <c r="D17" s="78" t="str">
        <f>IF(Riepilogo_SanzioneOneriUrbSec&gt;0,IF(Riepilogo_SanzioneOneriUrbSec&gt;0,"","Nessuna"),"")</f>
        <v/>
      </c>
      <c r="E17" s="80">
        <f>CC_SanzioneOneriUrbSec</f>
        <v>0</v>
      </c>
      <c r="F17" s="56"/>
      <c r="I17"/>
    </row>
    <row r="18" spans="1:10" ht="12.75" customHeight="1" x14ac:dyDescent="0.2">
      <c r="A18" s="36"/>
      <c r="B18" s="836" t="s">
        <v>195</v>
      </c>
      <c r="C18" s="837"/>
      <c r="D18" s="78" t="str">
        <f>IF(Riepilogo_RiduPianoCasaOneriUrbSec&gt;0,IF(Par_PianoCasa_Rid&gt;0, TEXT(Par_PianoCasa_Rid,"0%")&amp;" a dedurre","Nessuna"),"")</f>
        <v/>
      </c>
      <c r="E18" s="79">
        <f>OnSec_RiduzionePianoCasa</f>
        <v>0</v>
      </c>
      <c r="F18" s="59"/>
      <c r="I18"/>
    </row>
    <row r="19" spans="1:10" ht="12.75" customHeight="1" x14ac:dyDescent="0.2">
      <c r="A19" s="36"/>
      <c r="B19" s="834" t="s">
        <v>193</v>
      </c>
      <c r="C19" s="835"/>
      <c r="D19" s="78" t="str">
        <f>IF(Oneri_Urb_Sec_Corrisposti&gt;0," a dedurre","")</f>
        <v/>
      </c>
      <c r="E19" s="80">
        <f>Oneri_Urb_Sec_Corrisposti</f>
        <v>0</v>
      </c>
      <c r="F19" s="56"/>
      <c r="I19"/>
    </row>
    <row r="20" spans="1:10" ht="12.75" customHeight="1" x14ac:dyDescent="0.2">
      <c r="A20" s="36"/>
      <c r="B20" s="845" t="s">
        <v>105</v>
      </c>
      <c r="C20" s="846"/>
      <c r="D20" s="78"/>
      <c r="E20" s="109">
        <f>ROUND(Riepilogo_OneriUrbSecEsclusoSott+Riepilogo_OneriUrbSecCambioUso+Riepilogo_OneriUrbSecSott+Riepilogo_MaggOneriUrbSecSott-Oneri_Urb_Sec_Corrisposti+Riepilogo_SanzioneOneriUrbSec-OnSec_RiduzionePianoCasa,2)</f>
        <v>0</v>
      </c>
      <c r="F20" s="56"/>
      <c r="I20"/>
    </row>
    <row r="21" spans="1:10" ht="12.75" customHeight="1" x14ac:dyDescent="0.2">
      <c r="A21" s="36"/>
      <c r="B21" s="849" t="s">
        <v>85</v>
      </c>
      <c r="C21" s="850"/>
      <c r="D21" s="850"/>
      <c r="E21" s="850"/>
      <c r="F21" s="851"/>
    </row>
    <row r="22" spans="1:10" ht="12.75" customHeight="1" x14ac:dyDescent="0.2">
      <c r="A22" s="36"/>
      <c r="B22" s="836" t="s">
        <v>333</v>
      </c>
      <c r="C22" s="837"/>
      <c r="D22" s="78"/>
      <c r="E22" s="79">
        <f>ImportoOneriSmaltimentoRif</f>
        <v>0</v>
      </c>
      <c r="F22" s="657"/>
    </row>
    <row r="23" spans="1:10" ht="12.75" customHeight="1" x14ac:dyDescent="0.2">
      <c r="A23" s="36"/>
      <c r="B23" s="741" t="s">
        <v>334</v>
      </c>
      <c r="C23" s="742"/>
      <c r="D23" s="78"/>
      <c r="E23" s="80">
        <f>ImportoSmaltRifiuti_NuovaDest</f>
        <v>0</v>
      </c>
      <c r="F23" s="743"/>
    </row>
    <row r="24" spans="1:10" ht="12.75" customHeight="1" x14ac:dyDescent="0.2">
      <c r="A24" s="36"/>
      <c r="B24" s="834" t="s">
        <v>194</v>
      </c>
      <c r="C24" s="835"/>
      <c r="D24" s="78" t="str">
        <f>IF(Riepilogo_CC_SanzioneSmaltimentoRifiuti&gt;0,IF(Riepilogo_CC_SanzioneSmaltimentoRifiuti&gt;0,"","Nessuna"),"")</f>
        <v/>
      </c>
      <c r="E24" s="80">
        <f>CC_SanzioneSmaltimentoRifiuti</f>
        <v>0</v>
      </c>
      <c r="F24" s="657"/>
    </row>
    <row r="25" spans="1:10" ht="12.75" customHeight="1" x14ac:dyDescent="0.2">
      <c r="A25" s="36"/>
      <c r="B25" s="581"/>
      <c r="C25" s="111" t="s">
        <v>105</v>
      </c>
      <c r="D25" s="78"/>
      <c r="E25" s="79">
        <f>ROUND(Riepilogo_OneriSmaltRifiutiRif+Riepilogo_OneriSmaltRifiutiCambioUso+Riepilogo_CC_SanzioneSmaltimentoRifiuti,2)</f>
        <v>0</v>
      </c>
      <c r="F25" s="56"/>
      <c r="I25"/>
    </row>
    <row r="26" spans="1:10" ht="12.75" customHeight="1" x14ac:dyDescent="0.2">
      <c r="A26" s="36"/>
      <c r="B26" s="81"/>
      <c r="C26" s="82"/>
      <c r="D26" s="84"/>
      <c r="E26" s="184"/>
      <c r="F26" s="56"/>
      <c r="I26"/>
    </row>
    <row r="27" spans="1:10" ht="12.75" customHeight="1" x14ac:dyDescent="0.2">
      <c r="A27" s="36"/>
      <c r="B27" s="847" t="s">
        <v>78</v>
      </c>
      <c r="C27" s="848"/>
      <c r="D27" s="83"/>
      <c r="E27" s="77">
        <f>ROUND(Riepilogo_OneriUrbPrim+Riepilogo_OneriSecPrim+Riepilogo_Cc_OneriSmaltRifiutiRif,2)</f>
        <v>0</v>
      </c>
      <c r="F27" s="56"/>
      <c r="I27" s="39"/>
    </row>
    <row r="28" spans="1:10" ht="12.75" customHeight="1" x14ac:dyDescent="0.2">
      <c r="A28" s="36"/>
      <c r="B28" s="60"/>
      <c r="C28" s="58"/>
      <c r="D28" s="61"/>
      <c r="E28" s="62"/>
      <c r="F28" s="56"/>
      <c r="I28" s="39"/>
    </row>
    <row r="29" spans="1:10" ht="12.75" customHeight="1" x14ac:dyDescent="0.2">
      <c r="A29" s="36"/>
      <c r="B29" s="849" t="s">
        <v>142</v>
      </c>
      <c r="C29" s="850"/>
      <c r="D29" s="850"/>
      <c r="E29" s="850"/>
      <c r="F29" s="851"/>
      <c r="G29" s="17"/>
      <c r="H29" s="17"/>
      <c r="I29" s="17"/>
    </row>
    <row r="30" spans="1:10" ht="12.75" customHeight="1" x14ac:dyDescent="0.2">
      <c r="A30" s="36"/>
      <c r="B30" s="836" t="s">
        <v>196</v>
      </c>
      <c r="C30" s="837"/>
      <c r="D30" s="78"/>
      <c r="E30" s="79">
        <f ca="1">CC_Residenziale+CC_CommercioTerziario</f>
        <v>0</v>
      </c>
      <c r="F30" s="56"/>
      <c r="G30" s="17"/>
      <c r="H30" s="17"/>
      <c r="I30" s="17"/>
    </row>
    <row r="31" spans="1:10" ht="12.75" customHeight="1" x14ac:dyDescent="0.2">
      <c r="A31" s="36"/>
      <c r="B31" s="834" t="s">
        <v>197</v>
      </c>
      <c r="C31" s="835"/>
      <c r="D31" s="78"/>
      <c r="E31" s="80">
        <f ca="1">cc_CostoCostRecSottProg</f>
        <v>0</v>
      </c>
      <c r="F31" s="56"/>
      <c r="G31" s="17"/>
      <c r="H31" s="17"/>
      <c r="I31" s="17"/>
      <c r="J31"/>
    </row>
    <row r="32" spans="1:10" ht="12.75" customHeight="1" x14ac:dyDescent="0.2">
      <c r="A32" s="36"/>
      <c r="B32" s="834" t="s">
        <v>198</v>
      </c>
      <c r="C32" s="835"/>
      <c r="D32" s="78" t="str">
        <f ca="1">CC_AltriCosti_ValoreMaggCCRecSott_Etic</f>
        <v/>
      </c>
      <c r="E32" s="79">
        <f ca="1">CC_AltriCosti_ValoreMaggCCRecSott</f>
        <v>0</v>
      </c>
      <c r="F32" s="56"/>
      <c r="G32" s="17"/>
      <c r="H32" s="17"/>
      <c r="I32" s="17"/>
      <c r="J32"/>
    </row>
    <row r="33" spans="1:10" ht="12.75" customHeight="1" x14ac:dyDescent="0.2">
      <c r="A33" s="36"/>
      <c r="B33" s="834" t="s">
        <v>194</v>
      </c>
      <c r="C33" s="835"/>
      <c r="D33" s="78" t="str">
        <f>IF(Riepilogo_SanzioneCostoCostruzione&gt;0,IF(Riepilogo_SanzioneOneriUrbSec&gt;0,"","Nessuna"),"")</f>
        <v/>
      </c>
      <c r="E33" s="79">
        <f>CC_SanzioneCostoCostruzione</f>
        <v>0</v>
      </c>
      <c r="F33" s="56"/>
      <c r="I33"/>
    </row>
    <row r="34" spans="1:10" ht="12.75" customHeight="1" x14ac:dyDescent="0.2">
      <c r="A34" s="36"/>
      <c r="B34" s="834" t="s">
        <v>200</v>
      </c>
      <c r="C34" s="835"/>
      <c r="D34" s="78" t="str">
        <f>IF(Riepilogo_CC_RiduzionePianoCasa&gt;0,IF(Par_PianoCasa_RidCC&gt;0, TEXT(Par_PianoCasa_RidCC,"0%")&amp;" a dedurre","Nessuna"),"")</f>
        <v/>
      </c>
      <c r="E34" s="80">
        <f>CC_RiduzionePianoCasa</f>
        <v>0</v>
      </c>
      <c r="F34" s="65"/>
      <c r="G34" s="17"/>
      <c r="H34" s="17"/>
      <c r="I34" s="17"/>
      <c r="J34"/>
    </row>
    <row r="35" spans="1:10" ht="12.75" customHeight="1" x14ac:dyDescent="0.2">
      <c r="A35" s="36"/>
      <c r="B35" s="834" t="s">
        <v>199</v>
      </c>
      <c r="C35" s="835"/>
      <c r="D35" s="78" t="str">
        <f>IF(CostoCostr_NuovaEdif_corrisposto_concessione_cong+CostoCostr_NuovaEdif_corrisposto_varianti+CostoCostr_Ristrutt_corrisposto_concessione_cong+CostoCostr_Ristrutt_corrisposto_varianti&gt;0," a dedurre","")</f>
        <v/>
      </c>
      <c r="E35" s="80">
        <f>ROUND(CostoCostr_NuovaEdif_corrisposto_concessione_cong+CostoCostr_NuovaEdif_corrisposto_varianti+CostoCostr_Ristrutt_corrisposto_concessione_cong+CostoCostr_Ristrutt_corrisposto_varianti,2)</f>
        <v>0</v>
      </c>
      <c r="F35" s="56"/>
      <c r="G35" s="17"/>
      <c r="H35" s="17"/>
      <c r="I35" s="17"/>
      <c r="J35"/>
    </row>
    <row r="36" spans="1:10" ht="12.75" customHeight="1" x14ac:dyDescent="0.2">
      <c r="A36" s="36"/>
      <c r="B36" s="845" t="s">
        <v>105</v>
      </c>
      <c r="C36" s="846"/>
      <c r="D36" s="78"/>
      <c r="E36" s="109">
        <f ca="1">ImportoCostoCostruzione_conAltriCosti</f>
        <v>0</v>
      </c>
      <c r="F36" s="56"/>
      <c r="G36" s="17"/>
      <c r="H36" s="17"/>
      <c r="I36" s="17"/>
      <c r="J36"/>
    </row>
    <row r="37" spans="1:10" ht="12.75" customHeight="1" x14ac:dyDescent="0.2">
      <c r="A37" s="36"/>
      <c r="B37" s="849" t="s">
        <v>140</v>
      </c>
      <c r="C37" s="850"/>
      <c r="D37" s="850"/>
      <c r="E37" s="850"/>
      <c r="F37" s="851"/>
      <c r="G37" s="17"/>
      <c r="H37" s="17"/>
      <c r="I37" s="17"/>
    </row>
    <row r="38" spans="1:10" ht="12.75" customHeight="1" x14ac:dyDescent="0.2">
      <c r="A38" s="36"/>
      <c r="B38" s="836" t="s">
        <v>196</v>
      </c>
      <c r="C38" s="837"/>
      <c r="D38" s="78"/>
      <c r="E38" s="79">
        <f>ROUND(CostoCostProg_ContributoDovuto-CostoCostStatoFatto_ContributoDovuto,2)</f>
        <v>0</v>
      </c>
      <c r="F38" s="56"/>
      <c r="G38" s="17"/>
      <c r="H38" s="17"/>
      <c r="I38" s="17"/>
    </row>
    <row r="39" spans="1:10" ht="12.75" customHeight="1" x14ac:dyDescent="0.2">
      <c r="A39" s="36"/>
      <c r="B39" s="834" t="s">
        <v>199</v>
      </c>
      <c r="C39" s="835"/>
      <c r="D39" s="78" t="str">
        <f>IF(CostoCostr_NuovaEdif_Prog_corrisposto_concessione_cong+CostoCostr_NuovaEdif_Prog_corrisposto_varianti+CostoCostr_NuovaEdif_StFatto_corrisposto_concessione_cong+CostoCostr_NuovaEdif_StFatto_corrisposto_varianti&gt;0," a dedurre","")</f>
        <v/>
      </c>
      <c r="E39" s="79">
        <f>ROUND(CostoCostr_NuovaEdif_Prog_corrisposto_concessione_cong+CostoCostr_NuovaEdif_Prog_corrisposto_varianti+CostoCostr_NuovaEdif_StFatto_corrisposto_concessione_cong+CostoCostr_NuovaEdif_StFatto_corrisposto_varianti,2)</f>
        <v>0</v>
      </c>
      <c r="F39" s="56"/>
      <c r="G39" s="17"/>
      <c r="H39" s="17"/>
      <c r="I39" s="17"/>
    </row>
    <row r="40" spans="1:10" ht="12.75" customHeight="1" x14ac:dyDescent="0.2">
      <c r="A40" s="36"/>
      <c r="B40" s="845" t="s">
        <v>105</v>
      </c>
      <c r="C40" s="846"/>
      <c r="D40" s="78"/>
      <c r="E40" s="118">
        <f>ImportoCostoCostruzione_StatoFattoProgetto</f>
        <v>0</v>
      </c>
      <c r="F40" s="56"/>
      <c r="G40" s="17"/>
      <c r="H40" s="17"/>
      <c r="I40" s="17"/>
    </row>
    <row r="41" spans="1:10" ht="12.75" customHeight="1" x14ac:dyDescent="0.2">
      <c r="A41" s="36"/>
      <c r="B41" s="89"/>
      <c r="C41" s="82"/>
      <c r="D41" s="113"/>
      <c r="E41" s="184"/>
      <c r="F41" s="56"/>
      <c r="G41" s="17"/>
      <c r="H41" s="17"/>
      <c r="I41" s="17"/>
    </row>
    <row r="42" spans="1:10" ht="12.75" customHeight="1" x14ac:dyDescent="0.2">
      <c r="A42" s="36"/>
      <c r="B42" s="847" t="s">
        <v>142</v>
      </c>
      <c r="C42" s="848"/>
      <c r="D42" s="78"/>
      <c r="E42" s="77">
        <f ca="1">ImportoCostoCostruzione_conAltriCosti</f>
        <v>0</v>
      </c>
      <c r="F42" s="56"/>
      <c r="G42" s="17"/>
      <c r="H42" s="17"/>
      <c r="I42" s="17"/>
    </row>
    <row r="43" spans="1:10" ht="12.75" customHeight="1" thickBot="1" x14ac:dyDescent="0.25">
      <c r="A43" s="36"/>
      <c r="B43" s="67"/>
      <c r="C43" s="61"/>
      <c r="D43" s="61"/>
      <c r="E43" s="112"/>
      <c r="F43" s="56"/>
      <c r="G43" s="17"/>
      <c r="H43" s="17"/>
      <c r="I43" s="17"/>
    </row>
    <row r="44" spans="1:10" ht="15" customHeight="1" x14ac:dyDescent="0.2">
      <c r="A44" s="36"/>
      <c r="B44" s="841" t="s">
        <v>105</v>
      </c>
      <c r="C44" s="842"/>
      <c r="D44" s="92"/>
      <c r="E44" s="93">
        <f ca="1">ROUND(Riepilogo_OneriUrbanizzazione+Riepilogo_CostoCostruzione_totale,2)</f>
        <v>0</v>
      </c>
      <c r="F44" s="95"/>
      <c r="J44"/>
    </row>
    <row r="45" spans="1:10" ht="12.75" customHeight="1" thickBot="1" x14ac:dyDescent="0.25">
      <c r="A45" s="36"/>
      <c r="B45" s="96"/>
      <c r="C45" s="61"/>
      <c r="D45" s="61"/>
      <c r="E45" s="63"/>
      <c r="F45" s="88"/>
      <c r="G45"/>
      <c r="H45" s="17"/>
      <c r="I45" s="17"/>
      <c r="J45"/>
    </row>
    <row r="46" spans="1:10" ht="15" customHeight="1" x14ac:dyDescent="0.2">
      <c r="A46" s="36"/>
      <c r="B46" s="838" t="s">
        <v>88</v>
      </c>
      <c r="C46" s="839"/>
      <c r="D46" s="839"/>
      <c r="E46" s="839"/>
      <c r="F46" s="840"/>
      <c r="G46"/>
      <c r="H46" s="17"/>
      <c r="I46" s="17"/>
      <c r="J46"/>
    </row>
    <row r="47" spans="1:10" ht="12.75" customHeight="1" x14ac:dyDescent="0.2">
      <c r="A47" s="36"/>
      <c r="B47" s="836" t="str">
        <f>CC_AltriCosti_SanzioneLabel</f>
        <v>Sanzione pecuniaria per interventi in sanatoria</v>
      </c>
      <c r="C47" s="837"/>
      <c r="D47" s="78"/>
      <c r="E47" s="85">
        <f>CC_AltriCosti_Sanzione</f>
        <v>0</v>
      </c>
      <c r="F47" s="56"/>
      <c r="G47"/>
      <c r="H47" s="17"/>
      <c r="I47" s="17"/>
      <c r="J47"/>
    </row>
    <row r="48" spans="1:10" ht="12.75" customHeight="1" x14ac:dyDescent="0.2">
      <c r="A48" s="36"/>
      <c r="B48" s="834" t="s">
        <v>351</v>
      </c>
      <c r="C48" s="835"/>
      <c r="D48" s="78"/>
      <c r="E48" s="79">
        <f>Co_MonAreeStand</f>
        <v>0</v>
      </c>
      <c r="F48" s="56"/>
      <c r="G48"/>
      <c r="H48" s="17"/>
      <c r="I48" s="17"/>
    </row>
    <row r="49" spans="1:13" ht="12.75" hidden="1" customHeight="1" x14ac:dyDescent="0.2">
      <c r="A49" s="36"/>
      <c r="B49" s="834" t="s">
        <v>81</v>
      </c>
      <c r="C49" s="835"/>
      <c r="D49" s="78"/>
      <c r="E49" s="80">
        <f>Co_MonAreeParc</f>
        <v>0</v>
      </c>
      <c r="F49" s="56"/>
      <c r="G49"/>
    </row>
    <row r="50" spans="1:13" ht="12.75" customHeight="1" x14ac:dyDescent="0.2">
      <c r="A50" s="36"/>
      <c r="B50" s="834" t="str">
        <f>OnUrb_AltriCosti_DescMaggCostoCAreeAgr</f>
        <v>Maggiorazione sugli oneri di urbanizzazione per Fondo Aree Verdi</v>
      </c>
      <c r="C50" s="835"/>
      <c r="D50" s="78"/>
      <c r="E50" s="79">
        <f>OnUrb_AltriCosti_ValoreMaggCostoCAreeAgr</f>
        <v>0</v>
      </c>
      <c r="F50" s="56"/>
      <c r="G50"/>
      <c r="H50" s="17"/>
      <c r="I50" s="17"/>
    </row>
    <row r="51" spans="1:13" s="12" customFormat="1" ht="12.75" customHeight="1" x14ac:dyDescent="0.2">
      <c r="A51" s="21"/>
      <c r="B51" s="834" t="str">
        <f>CC_AltriCosti_DescMaggCostoCAreeAgr</f>
        <v>Maggiorazione sul costo di costruzione per Fondo Aree Verdi</v>
      </c>
      <c r="C51" s="835"/>
      <c r="D51" s="78"/>
      <c r="E51" s="80">
        <f>CC_AltriCosti_ValoreMaggCostoCAreeAgr</f>
        <v>0</v>
      </c>
      <c r="F51" s="56"/>
      <c r="G51"/>
      <c r="H51" s="13"/>
      <c r="I51" s="5"/>
      <c r="J51" s="6">
        <f>IF(Ou_NuovaEd_AreaAgricola="Sì",((ImportoCostoCostruzione+ImportoOneriUrbanizzazione)*Par_Maggiorazione_AreeAgric)/100,0)</f>
        <v>0</v>
      </c>
      <c r="K51" s="14"/>
      <c r="L51" s="17"/>
      <c r="M51" s="17"/>
    </row>
    <row r="52" spans="1:13" s="12" customFormat="1" ht="12.75" customHeight="1" thickBot="1" x14ac:dyDescent="0.25">
      <c r="A52" s="21"/>
      <c r="B52" s="67"/>
      <c r="C52" s="57"/>
      <c r="D52" s="182"/>
      <c r="E52" s="112"/>
      <c r="F52" s="56"/>
      <c r="G52"/>
      <c r="H52" s="45"/>
      <c r="I52" s="5"/>
      <c r="J52" s="46"/>
      <c r="K52" s="47"/>
      <c r="L52" s="17"/>
      <c r="M52" s="17"/>
    </row>
    <row r="53" spans="1:13" ht="15" customHeight="1" x14ac:dyDescent="0.2">
      <c r="A53" s="36"/>
      <c r="B53" s="841" t="s">
        <v>105</v>
      </c>
      <c r="C53" s="842"/>
      <c r="D53" s="92"/>
      <c r="E53" s="93">
        <f>ImportoAltriCosti</f>
        <v>0</v>
      </c>
      <c r="F53" s="95"/>
      <c r="G53"/>
    </row>
    <row r="54" spans="1:13" ht="12.75" customHeight="1" x14ac:dyDescent="0.2">
      <c r="A54" s="36"/>
      <c r="B54" s="61"/>
      <c r="C54" s="61"/>
      <c r="D54" s="61"/>
      <c r="E54" s="63"/>
      <c r="F54" s="26"/>
      <c r="G54"/>
    </row>
    <row r="55" spans="1:13" ht="15" customHeight="1" x14ac:dyDescent="0.2">
      <c r="A55" s="33"/>
      <c r="B55" s="843" t="s">
        <v>202</v>
      </c>
      <c r="C55" s="844"/>
      <c r="D55" s="78"/>
      <c r="E55" s="94">
        <f ca="1">Complessivo_ConMagg</f>
        <v>0</v>
      </c>
      <c r="F55" s="97"/>
      <c r="G55"/>
    </row>
    <row r="56" spans="1:13" ht="12.75" customHeight="1" thickBot="1" x14ac:dyDescent="0.25">
      <c r="A56" s="26"/>
      <c r="B56" s="88"/>
      <c r="C56" s="88"/>
      <c r="D56" s="88"/>
      <c r="E56" s="88"/>
      <c r="F56" s="88"/>
      <c r="G56"/>
    </row>
    <row r="57" spans="1:13" ht="15" customHeight="1" x14ac:dyDescent="0.2">
      <c r="A57" s="35"/>
      <c r="B57" s="838" t="s">
        <v>204</v>
      </c>
      <c r="C57" s="839"/>
      <c r="D57" s="839"/>
      <c r="E57" s="839"/>
      <c r="F57" s="840"/>
    </row>
    <row r="58" spans="1:13" ht="12.75" customHeight="1" x14ac:dyDescent="0.2">
      <c r="A58" s="26"/>
      <c r="B58" s="836" t="s">
        <v>283</v>
      </c>
      <c r="C58" s="837"/>
      <c r="D58" s="87"/>
      <c r="E58" s="99">
        <f>DetCL_DettContCostoCost_SommaIncrementi</f>
        <v>0</v>
      </c>
      <c r="F58" s="56"/>
    </row>
    <row r="59" spans="1:13" ht="12.75" customHeight="1" x14ac:dyDescent="0.2">
      <c r="A59" s="26"/>
      <c r="B59" s="834" t="s">
        <v>284</v>
      </c>
      <c r="C59" s="835"/>
      <c r="D59" s="87"/>
      <c r="E59" s="100" t="str">
        <f>IF(DetCL_DettContCostoCost_SommaIncrementi&gt;0,DetClasse_CostoCostruzClasse,"")</f>
        <v/>
      </c>
      <c r="F59" s="56"/>
    </row>
    <row r="60" spans="1:13" ht="12.75" customHeight="1" x14ac:dyDescent="0.2">
      <c r="A60" s="26"/>
      <c r="B60" s="834" t="s">
        <v>285</v>
      </c>
      <c r="C60" s="835"/>
      <c r="D60" s="87"/>
      <c r="E60" s="101">
        <f ca="1">DetClasse_Maggiorazione</f>
        <v>0</v>
      </c>
      <c r="F60" s="56"/>
    </row>
    <row r="61" spans="1:13" ht="12.75" customHeight="1" x14ac:dyDescent="0.2">
      <c r="A61" s="26"/>
      <c r="B61" s="834" t="s">
        <v>286</v>
      </c>
      <c r="C61" s="835"/>
      <c r="D61" s="87"/>
      <c r="E61" s="102">
        <f>CostoCost_NuovaCost_SupCompl</f>
        <v>0</v>
      </c>
      <c r="F61" s="56"/>
    </row>
    <row r="62" spans="1:13" ht="12.75" customHeight="1" x14ac:dyDescent="0.2">
      <c r="A62" s="26"/>
      <c r="B62" s="834" t="s">
        <v>287</v>
      </c>
      <c r="C62" s="835"/>
      <c r="D62" s="87"/>
      <c r="E62" s="102">
        <f>+CostoCost_Rist_SupCompl</f>
        <v>0</v>
      </c>
      <c r="F62" s="56"/>
    </row>
    <row r="63" spans="1:13" ht="12.75" customHeight="1" x14ac:dyDescent="0.2">
      <c r="A63" s="26"/>
      <c r="B63" s="834" t="s">
        <v>288</v>
      </c>
      <c r="C63" s="835"/>
      <c r="D63" s="87"/>
      <c r="E63" s="102">
        <f>CostoCost_Sot_SupCompl</f>
        <v>0</v>
      </c>
      <c r="F63" s="56"/>
    </row>
    <row r="64" spans="1:13" ht="12.75" customHeight="1" thickBot="1" x14ac:dyDescent="0.3">
      <c r="A64" s="34"/>
      <c r="B64" s="68"/>
      <c r="C64" s="69"/>
      <c r="D64" s="72"/>
      <c r="E64" s="73"/>
      <c r="F64" s="74"/>
    </row>
    <row r="65" spans="1:6" ht="12.75" customHeight="1" thickBot="1" x14ac:dyDescent="0.25">
      <c r="A65" s="26"/>
      <c r="B65" s="90"/>
      <c r="C65" s="90"/>
      <c r="D65" s="90"/>
      <c r="E65" s="98"/>
      <c r="F65" s="90"/>
    </row>
    <row r="66" spans="1:6" ht="15" customHeight="1" x14ac:dyDescent="0.2">
      <c r="A66" s="35"/>
      <c r="B66" s="838" t="s">
        <v>338</v>
      </c>
      <c r="C66" s="839"/>
      <c r="D66" s="839"/>
      <c r="E66" s="839"/>
      <c r="F66" s="840"/>
    </row>
    <row r="67" spans="1:6" ht="12.75" customHeight="1" x14ac:dyDescent="0.2">
      <c r="A67" s="26"/>
      <c r="B67" s="836" t="s">
        <v>282</v>
      </c>
      <c r="C67" s="837"/>
      <c r="D67" s="87"/>
      <c r="E67" s="103">
        <f>Volume_Recupero_Sottotetti</f>
        <v>0</v>
      </c>
      <c r="F67" s="56"/>
    </row>
    <row r="68" spans="1:6" ht="12.75" customHeight="1" x14ac:dyDescent="0.2">
      <c r="A68" s="26"/>
      <c r="B68" s="834" t="s">
        <v>281</v>
      </c>
      <c r="C68" s="835"/>
      <c r="D68" s="87"/>
      <c r="E68" s="104">
        <f>COUNTIF(Calcolo_sup_parcheggi_tot_volume_UIU,"&gt;0")</f>
        <v>0</v>
      </c>
      <c r="F68" s="56"/>
    </row>
    <row r="69" spans="1:6" ht="12.75" customHeight="1" x14ac:dyDescent="0.2">
      <c r="A69" s="26"/>
      <c r="B69" s="834" t="s">
        <v>339</v>
      </c>
      <c r="C69" s="835"/>
      <c r="D69" s="87"/>
      <c r="E69" s="102">
        <f>Parcheggio_Recupero_Sottotetti</f>
        <v>0</v>
      </c>
      <c r="F69" s="56"/>
    </row>
    <row r="70" spans="1:6" ht="12.75" customHeight="1" thickBot="1" x14ac:dyDescent="0.25">
      <c r="A70" s="38"/>
      <c r="B70" s="75"/>
      <c r="C70" s="76"/>
      <c r="D70" s="76"/>
      <c r="E70" s="76"/>
      <c r="F70" s="70"/>
    </row>
    <row r="71" spans="1:6" ht="12.75" customHeight="1" x14ac:dyDescent="0.2">
      <c r="A71" s="26"/>
      <c r="B71" s="2"/>
      <c r="C71" s="2"/>
      <c r="D71" s="2"/>
      <c r="E71" s="2"/>
      <c r="F71" s="2"/>
    </row>
    <row r="72" spans="1:6" hidden="1" x14ac:dyDescent="0.2">
      <c r="A72" s="26"/>
      <c r="B72" s="2"/>
      <c r="C72" s="2"/>
      <c r="D72" s="2"/>
      <c r="E72" s="2"/>
      <c r="F72" s="2"/>
    </row>
    <row r="73" spans="1:6" hidden="1" x14ac:dyDescent="0.2">
      <c r="A73" s="26"/>
      <c r="B73" s="2"/>
      <c r="C73" s="2"/>
      <c r="D73" s="2"/>
      <c r="E73" s="2"/>
      <c r="F73" s="2"/>
    </row>
    <row r="74" spans="1:6" hidden="1" x14ac:dyDescent="0.2">
      <c r="A74" s="26"/>
      <c r="B74" s="2"/>
      <c r="C74" s="2"/>
      <c r="D74" s="2"/>
      <c r="E74" s="2"/>
      <c r="F74" s="2"/>
    </row>
    <row r="75" spans="1:6" hidden="1" x14ac:dyDescent="0.2">
      <c r="A75" s="39"/>
    </row>
    <row r="76" spans="1:6" hidden="1" x14ac:dyDescent="0.2">
      <c r="A76" s="1"/>
    </row>
    <row r="77" spans="1:6" hidden="1" x14ac:dyDescent="0.2">
      <c r="A77" s="1"/>
    </row>
    <row r="78" spans="1:6" hidden="1" x14ac:dyDescent="0.2">
      <c r="A78" s="1"/>
    </row>
    <row r="79" spans="1:6" hidden="1" x14ac:dyDescent="0.2">
      <c r="A79" s="1"/>
    </row>
    <row r="80" spans="1:6" hidden="1" x14ac:dyDescent="0.2">
      <c r="A80" s="1"/>
    </row>
    <row r="81" spans="1:1" hidden="1" x14ac:dyDescent="0.2">
      <c r="A81" s="1"/>
    </row>
    <row r="82" spans="1:1" hidden="1" x14ac:dyDescent="0.2">
      <c r="A82" s="1"/>
    </row>
    <row r="83" spans="1:1" hidden="1" x14ac:dyDescent="0.2">
      <c r="A83" s="1"/>
    </row>
    <row r="84" spans="1:1" hidden="1" x14ac:dyDescent="0.2">
      <c r="A84" s="1"/>
    </row>
    <row r="85" spans="1:1" hidden="1" x14ac:dyDescent="0.2">
      <c r="A85" s="1"/>
    </row>
    <row r="86" spans="1:1" hidden="1" x14ac:dyDescent="0.2">
      <c r="A86" s="1"/>
    </row>
    <row r="87" spans="1:1" hidden="1" x14ac:dyDescent="0.2">
      <c r="A87" s="1"/>
    </row>
    <row r="88" spans="1:1" hidden="1" x14ac:dyDescent="0.2">
      <c r="A88" s="1"/>
    </row>
    <row r="89" spans="1:1" hidden="1" x14ac:dyDescent="0.2">
      <c r="A89" s="1"/>
    </row>
    <row r="90" spans="1:1" hidden="1" x14ac:dyDescent="0.2">
      <c r="A90" s="1"/>
    </row>
    <row r="91" spans="1:1" hidden="1" x14ac:dyDescent="0.2">
      <c r="A91" s="1"/>
    </row>
    <row r="92" spans="1:1" hidden="1" x14ac:dyDescent="0.2">
      <c r="A92" s="1"/>
    </row>
    <row r="93" spans="1:1" hidden="1" x14ac:dyDescent="0.2">
      <c r="A93" s="1"/>
    </row>
    <row r="94" spans="1:1" hidden="1" x14ac:dyDescent="0.2">
      <c r="A94" s="1"/>
    </row>
    <row r="95" spans="1:1" hidden="1" x14ac:dyDescent="0.2">
      <c r="A95" s="1"/>
    </row>
    <row r="96" spans="1:1" hidden="1" x14ac:dyDescent="0.2">
      <c r="A96" s="1"/>
    </row>
    <row r="97" spans="1:1" hidden="1" x14ac:dyDescent="0.2">
      <c r="A97" s="1"/>
    </row>
    <row r="98" spans="1:1" hidden="1" x14ac:dyDescent="0.2">
      <c r="A98" s="1"/>
    </row>
    <row r="99" spans="1:1" hidden="1" x14ac:dyDescent="0.2">
      <c r="A99" s="1"/>
    </row>
    <row r="100" spans="1:1" hidden="1" x14ac:dyDescent="0.2">
      <c r="A100" s="1"/>
    </row>
    <row r="101" spans="1:1" hidden="1" x14ac:dyDescent="0.2">
      <c r="A101" s="1"/>
    </row>
    <row r="102" spans="1:1" hidden="1" x14ac:dyDescent="0.2">
      <c r="A102" s="1"/>
    </row>
    <row r="103" spans="1:1" hidden="1" x14ac:dyDescent="0.2">
      <c r="A103" s="1"/>
    </row>
    <row r="104" spans="1:1" hidden="1" x14ac:dyDescent="0.2">
      <c r="A104" s="1"/>
    </row>
    <row r="105" spans="1:1" hidden="1" x14ac:dyDescent="0.2">
      <c r="A105" s="1"/>
    </row>
    <row r="106" spans="1:1" hidden="1" x14ac:dyDescent="0.2">
      <c r="A106" s="1"/>
    </row>
    <row r="107" spans="1:1" hidden="1" x14ac:dyDescent="0.2">
      <c r="A107" s="1"/>
    </row>
    <row r="108" spans="1:1" hidden="1" x14ac:dyDescent="0.2">
      <c r="A108" s="1"/>
    </row>
    <row r="109" spans="1:1" hidden="1" x14ac:dyDescent="0.2"/>
    <row r="110" spans="1:1" hidden="1" x14ac:dyDescent="0.2"/>
    <row r="111" spans="1:1" hidden="1" x14ac:dyDescent="0.2"/>
    <row r="112" spans="1:1"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x14ac:dyDescent="0.2"/>
  </sheetData>
  <sheetProtection password="83CC" sheet="1" objects="1" scenarios="1" formatColumns="0" formatRows="0" insertRows="0"/>
  <mergeCells count="55">
    <mergeCell ref="B19:C19"/>
    <mergeCell ref="B17:C17"/>
    <mergeCell ref="B37:F37"/>
    <mergeCell ref="B38:C38"/>
    <mergeCell ref="B3:F3"/>
    <mergeCell ref="B20:C20"/>
    <mergeCell ref="B21:F21"/>
    <mergeCell ref="B11:C11"/>
    <mergeCell ref="B12:F12"/>
    <mergeCell ref="B13:C13"/>
    <mergeCell ref="B15:C15"/>
    <mergeCell ref="B16:C16"/>
    <mergeCell ref="B32:C32"/>
    <mergeCell ref="B34:C34"/>
    <mergeCell ref="B35:C35"/>
    <mergeCell ref="B33:C33"/>
    <mergeCell ref="B2:F2"/>
    <mergeCell ref="B4:C4"/>
    <mergeCell ref="B6:C6"/>
    <mergeCell ref="B7:C7"/>
    <mergeCell ref="B10:C10"/>
    <mergeCell ref="B8:C8"/>
    <mergeCell ref="B36:C36"/>
    <mergeCell ref="B22:C22"/>
    <mergeCell ref="B24:C24"/>
    <mergeCell ref="B57:F57"/>
    <mergeCell ref="B61:C61"/>
    <mergeCell ref="B39:C39"/>
    <mergeCell ref="B27:C27"/>
    <mergeCell ref="B29:F29"/>
    <mergeCell ref="B30:C30"/>
    <mergeCell ref="B31:C31"/>
    <mergeCell ref="B62:C62"/>
    <mergeCell ref="B40:C40"/>
    <mergeCell ref="B42:C42"/>
    <mergeCell ref="B44:C44"/>
    <mergeCell ref="B46:F46"/>
    <mergeCell ref="B47:C47"/>
    <mergeCell ref="B48:C48"/>
    <mergeCell ref="G7:G8"/>
    <mergeCell ref="B68:C68"/>
    <mergeCell ref="B69:C69"/>
    <mergeCell ref="B9:C9"/>
    <mergeCell ref="B18:C18"/>
    <mergeCell ref="B58:C58"/>
    <mergeCell ref="B59:C59"/>
    <mergeCell ref="B60:C60"/>
    <mergeCell ref="B63:C63"/>
    <mergeCell ref="B66:F66"/>
    <mergeCell ref="B67:C67"/>
    <mergeCell ref="B49:C49"/>
    <mergeCell ref="B50:C50"/>
    <mergeCell ref="B51:C51"/>
    <mergeCell ref="B53:C53"/>
    <mergeCell ref="B55:C55"/>
  </mergeCells>
  <hyperlinks>
    <hyperlink ref="G7:G8" location="'Procedura guidata (Office 2007)'!A1" display="Torna alla procedura guidata!"/>
  </hyperlinks>
  <printOptions horizontalCentered="1"/>
  <pageMargins left="0.11811023622047245" right="0.11811023622047245" top="0.15748031496062992" bottom="0.15748031496062992" header="0.31496062992125984" footer="0.31496062992125984"/>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2"/>
  <dimension ref="A1:IV233"/>
  <sheetViews>
    <sheetView showGridLines="0" showZeros="0" workbookViewId="0"/>
  </sheetViews>
  <sheetFormatPr defaultColWidth="0" defaultRowHeight="12.75" zeroHeight="1" x14ac:dyDescent="0.2"/>
  <cols>
    <col min="1" max="1" width="5.7109375" customWidth="1"/>
    <col min="2" max="2" width="32.28515625" customWidth="1"/>
    <col min="3" max="3" width="7" customWidth="1"/>
    <col min="4" max="4" width="16.7109375" customWidth="1"/>
    <col min="5" max="5" width="2.28515625" customWidth="1"/>
    <col min="6" max="6" width="16.7109375" customWidth="1"/>
    <col min="7" max="7" width="10.28515625" customWidth="1"/>
    <col min="8" max="8" width="16.7109375" customWidth="1"/>
    <col min="9" max="9" width="2.28515625" customWidth="1"/>
    <col min="10" max="10" width="16.7109375" customWidth="1"/>
    <col min="11" max="11" width="2.28515625" customWidth="1"/>
    <col min="12" max="13" width="12.7109375" customWidth="1"/>
    <col min="14" max="14" width="2.28515625" customWidth="1"/>
    <col min="15" max="15" width="18.7109375" customWidth="1"/>
    <col min="16" max="255" width="0" hidden="1" customWidth="1"/>
    <col min="256" max="16384" width="9.140625" hidden="1"/>
  </cols>
  <sheetData>
    <row r="1" spans="1:256" s="2" customFormat="1" ht="12.75" customHeight="1" thickBot="1" x14ac:dyDescent="0.25">
      <c r="A1" s="26"/>
      <c r="B1" s="44"/>
      <c r="C1" s="30"/>
      <c r="D1" s="30"/>
      <c r="E1" s="30"/>
      <c r="F1" s="30"/>
      <c r="G1" s="30"/>
      <c r="H1" s="30"/>
      <c r="I1" s="30"/>
      <c r="J1" s="30"/>
      <c r="K1" s="30"/>
      <c r="L1" s="26"/>
      <c r="M1" s="31"/>
      <c r="N1" s="31"/>
    </row>
    <row r="2" spans="1:256" s="10" customFormat="1" ht="15" customHeight="1" x14ac:dyDescent="0.25">
      <c r="A2" s="32"/>
      <c r="B2" s="857" t="s">
        <v>221</v>
      </c>
      <c r="C2" s="858"/>
      <c r="D2" s="858"/>
      <c r="E2" s="858"/>
      <c r="F2" s="858"/>
      <c r="G2" s="858"/>
      <c r="H2" s="858"/>
      <c r="I2" s="858"/>
      <c r="J2" s="858"/>
      <c r="K2" s="858"/>
      <c r="L2" s="858"/>
      <c r="M2" s="858"/>
      <c r="N2" s="859"/>
      <c r="O2" s="15"/>
    </row>
    <row r="3" spans="1:256" s="11" customFormat="1" ht="15" customHeight="1" x14ac:dyDescent="0.25">
      <c r="A3" s="28"/>
      <c r="B3" s="185"/>
      <c r="C3" s="186"/>
      <c r="D3" s="916" t="s">
        <v>5</v>
      </c>
      <c r="E3" s="916"/>
      <c r="F3" s="916"/>
      <c r="G3" s="187"/>
      <c r="H3" s="916" t="s">
        <v>0</v>
      </c>
      <c r="I3" s="916"/>
      <c r="J3" s="916"/>
      <c r="K3" s="225"/>
      <c r="L3" s="923" t="s">
        <v>105</v>
      </c>
      <c r="M3" s="923"/>
      <c r="N3" s="189"/>
      <c r="O3" s="16"/>
    </row>
    <row r="4" spans="1:256" s="326" customFormat="1" ht="20.100000000000001" customHeight="1" x14ac:dyDescent="0.2">
      <c r="A4" s="318"/>
      <c r="B4" s="885" t="str">
        <f>Parametri_DestUsoPersonalizzazione1 &amp; IF(EdiliziaConvenzionata="No",""," edilizia convenzionata")</f>
        <v>Residenziale</v>
      </c>
      <c r="C4" s="886"/>
      <c r="D4" s="887">
        <f>Ou_Cost_Res_NuovaEdif</f>
        <v>0</v>
      </c>
      <c r="E4" s="888"/>
      <c r="F4" s="888"/>
      <c r="G4" s="321"/>
      <c r="H4" s="888">
        <f>Ou_Rist_Res</f>
        <v>0</v>
      </c>
      <c r="I4" s="888"/>
      <c r="J4" s="888"/>
      <c r="K4" s="322"/>
      <c r="L4" s="323"/>
      <c r="M4" s="323"/>
      <c r="N4" s="324"/>
      <c r="O4" s="325"/>
    </row>
    <row r="5" spans="1:256" s="12" customFormat="1" ht="12.75" customHeight="1" x14ac:dyDescent="0.2">
      <c r="A5" s="21"/>
      <c r="B5" s="866" t="s">
        <v>82</v>
      </c>
      <c r="C5" s="867"/>
      <c r="D5" s="177">
        <f>IF(Ou_PrimariaDefiniti="Sì",IF(ISERROR(MATCH(ZonaTerritoriale,ElencoZone,0))=TRUE,0,INDEX(MatriceParametri,MATCH(ZonaTerritoriale,ElencoZone,0),IF(DatiGen_ResidenzialeClasseA="No",1,3))),0)</f>
        <v>7.36</v>
      </c>
      <c r="E5" s="129"/>
      <c r="F5" s="166">
        <f>PRODUCT(D4,D5)</f>
        <v>0</v>
      </c>
      <c r="G5" s="167"/>
      <c r="H5" s="177">
        <f>IF(Ou_PrimariaDefiniti="Sì",IF(ISERROR(MATCH(ZonaTerritoriale,ElencoZone,0))=TRUE,0,INDEX(MatriceParametri,MATCH(ZonaTerritoriale,ElencoZone,0),IF(DatiGen_ResidenzialeClasseA="No",2,4))),0)</f>
        <v>4.91</v>
      </c>
      <c r="I5" s="129"/>
      <c r="J5" s="166">
        <f>PRODUCT(H4,H5)</f>
        <v>0</v>
      </c>
      <c r="K5" s="331"/>
      <c r="L5" s="875">
        <f>ROUND(SUM(F5,J5),2)</f>
        <v>0</v>
      </c>
      <c r="M5" s="876"/>
      <c r="N5" s="127"/>
      <c r="O5" s="833" t="s">
        <v>293</v>
      </c>
    </row>
    <row r="6" spans="1:256" s="12" customFormat="1" ht="12.75" customHeight="1" x14ac:dyDescent="0.2">
      <c r="A6" s="21"/>
      <c r="B6" s="862" t="s">
        <v>83</v>
      </c>
      <c r="C6" s="863"/>
      <c r="D6" s="178">
        <f>IF(Ou_SecDefiniti="Sì",IF(ISERROR(MATCH(ZonaTerritoriale,ElencoZone,0))=TRUE,0,INDEX(MatriceParametri,MATCH(ZonaTerritoriale,ElencoZone,0)+1,IF(DatiGen_ResidenzialeClasseA="No",1,3))),0)</f>
        <v>17.489999999999998</v>
      </c>
      <c r="E6" s="129"/>
      <c r="F6" s="165">
        <f>PRODUCT(D4,D6)</f>
        <v>0</v>
      </c>
      <c r="G6" s="22"/>
      <c r="H6" s="178">
        <f>IF(Ou_SecDefiniti="Sì",IF(ISERROR(MATCH(ZonaTerritoriale,ElencoZone,0))=TRUE,0,INDEX(MatriceParametri,MATCH(ZonaTerritoriale,ElencoZone,0)+1,IF(DatiGen_ResidenzialeClasseA="No",2,4))),0)</f>
        <v>7.78</v>
      </c>
      <c r="I6" s="129"/>
      <c r="J6" s="165">
        <f>PRODUCT(H4,H6)</f>
        <v>0</v>
      </c>
      <c r="K6" s="145"/>
      <c r="L6" s="875">
        <f>ROUND(SUM(F6,J6),2)</f>
        <v>0</v>
      </c>
      <c r="M6" s="876"/>
      <c r="N6" s="127"/>
      <c r="O6" s="833"/>
    </row>
    <row r="7" spans="1:256" s="12" customFormat="1" ht="12.75" customHeight="1" x14ac:dyDescent="0.2">
      <c r="A7" s="21"/>
      <c r="B7" s="862" t="s">
        <v>84</v>
      </c>
      <c r="C7" s="863"/>
      <c r="D7" s="179">
        <f>IF(ISERROR(MATCH(ZonaTerritoriale,ElencoZone,0))=TRUE,0,INDEX(MatriceParametri,MATCH(ZonaTerritoriale,ElencoZone,0)+2,IF(DatiGen_ResidenzialeClasseA="No",1,3)))</f>
        <v>0</v>
      </c>
      <c r="E7" s="129"/>
      <c r="F7" s="165">
        <f>PRODUCT(D4,D7)</f>
        <v>0</v>
      </c>
      <c r="G7" s="22"/>
      <c r="H7" s="179">
        <f>IF(ISERROR(MATCH(ZonaTerritoriale,ElencoZone,0))=TRUE,0,INDEX(MatriceParametri,MATCH(ZonaTerritoriale,ElencoZone,0)+2,IF(DatiGen_ResidenzialeClasseA="No",2,4)))</f>
        <v>0</v>
      </c>
      <c r="I7" s="129"/>
      <c r="J7" s="165">
        <f>PRODUCT(H4,H7)</f>
        <v>0</v>
      </c>
      <c r="K7" s="145"/>
      <c r="L7" s="875">
        <f>ROUND(SUM(F7,J7),2)</f>
        <v>0</v>
      </c>
      <c r="M7" s="876"/>
      <c r="N7" s="127"/>
      <c r="O7" s="17"/>
    </row>
    <row r="8" spans="1:256" s="326" customFormat="1" ht="20.100000000000001" customHeight="1" x14ac:dyDescent="0.2">
      <c r="A8" s="318"/>
      <c r="B8" s="885" t="str">
        <f>Parametri_DestUsoPersonalizzazione2</f>
        <v>Artigianato e piccola industria</v>
      </c>
      <c r="C8" s="886"/>
      <c r="D8" s="890">
        <f>Ou_Cost_Comm_NuovaEdif</f>
        <v>0</v>
      </c>
      <c r="E8" s="890"/>
      <c r="F8" s="890"/>
      <c r="G8" s="321"/>
      <c r="H8" s="890">
        <f>Ou_Rist_Com</f>
        <v>0</v>
      </c>
      <c r="I8" s="890"/>
      <c r="J8" s="890"/>
      <c r="K8" s="328"/>
      <c r="L8" s="323"/>
      <c r="M8" s="323"/>
      <c r="N8" s="324"/>
      <c r="O8" s="325"/>
      <c r="P8" s="325"/>
      <c r="Q8" s="325"/>
      <c r="R8" s="325"/>
      <c r="S8" s="325"/>
      <c r="T8" s="325"/>
      <c r="U8" s="325"/>
      <c r="V8" s="325"/>
      <c r="W8" s="325"/>
      <c r="X8" s="325"/>
      <c r="Y8" s="325"/>
      <c r="Z8" s="325"/>
      <c r="AA8" s="325"/>
      <c r="AB8" s="325"/>
      <c r="AC8" s="325"/>
      <c r="AD8" s="325"/>
      <c r="AE8" s="325"/>
      <c r="AF8" s="325"/>
      <c r="AG8" s="325"/>
      <c r="AH8" s="325"/>
      <c r="AI8" s="325"/>
      <c r="AJ8" s="325"/>
      <c r="AK8" s="325"/>
      <c r="AL8" s="325"/>
      <c r="AM8" s="325"/>
      <c r="AN8" s="325"/>
      <c r="AO8" s="325"/>
      <c r="AP8" s="325"/>
      <c r="AQ8" s="325"/>
      <c r="AR8" s="325"/>
      <c r="AS8" s="325"/>
      <c r="AT8" s="325"/>
      <c r="AU8" s="325"/>
      <c r="AV8" s="325"/>
      <c r="AW8" s="325"/>
      <c r="AX8" s="325"/>
      <c r="AY8" s="325"/>
      <c r="AZ8" s="325"/>
      <c r="BA8" s="325"/>
      <c r="BB8" s="325"/>
      <c r="BC8" s="325"/>
      <c r="BD8" s="325"/>
      <c r="BE8" s="325"/>
      <c r="BF8" s="325"/>
      <c r="BG8" s="325"/>
      <c r="BH8" s="325"/>
      <c r="BI8" s="325"/>
      <c r="BJ8" s="325"/>
      <c r="BK8" s="325"/>
      <c r="BL8" s="325"/>
      <c r="BM8" s="325"/>
      <c r="BN8" s="325"/>
      <c r="BO8" s="325"/>
      <c r="BP8" s="325"/>
      <c r="BQ8" s="325"/>
      <c r="BR8" s="325"/>
      <c r="BS8" s="325"/>
      <c r="BT8" s="325"/>
      <c r="BU8" s="325"/>
      <c r="BV8" s="325"/>
      <c r="BW8" s="325"/>
      <c r="BX8" s="325"/>
      <c r="BY8" s="325"/>
      <c r="BZ8" s="325"/>
      <c r="CA8" s="325"/>
      <c r="CB8" s="325"/>
      <c r="CC8" s="325"/>
      <c r="CD8" s="325"/>
      <c r="CE8" s="325"/>
      <c r="CF8" s="325"/>
      <c r="CG8" s="325"/>
      <c r="CH8" s="325"/>
      <c r="CI8" s="325"/>
      <c r="CJ8" s="325"/>
      <c r="CK8" s="325"/>
      <c r="CL8" s="325"/>
      <c r="CM8" s="325"/>
      <c r="CN8" s="325"/>
      <c r="CO8" s="325"/>
      <c r="CP8" s="325"/>
      <c r="CQ8" s="325"/>
      <c r="CR8" s="325"/>
      <c r="CS8" s="325"/>
      <c r="CT8" s="325"/>
      <c r="CU8" s="325"/>
      <c r="CV8" s="325"/>
      <c r="CW8" s="325"/>
      <c r="CX8" s="325"/>
      <c r="CY8" s="325"/>
      <c r="CZ8" s="325"/>
      <c r="DA8" s="325"/>
      <c r="DB8" s="325"/>
      <c r="DC8" s="325"/>
      <c r="DD8" s="325"/>
      <c r="DE8" s="325"/>
      <c r="DF8" s="325"/>
      <c r="DG8" s="325"/>
      <c r="DH8" s="325"/>
      <c r="DI8" s="325"/>
      <c r="DJ8" s="325"/>
      <c r="DK8" s="325"/>
      <c r="DL8" s="325"/>
      <c r="DM8" s="325"/>
      <c r="DN8" s="325"/>
      <c r="DO8" s="325"/>
      <c r="DP8" s="325"/>
      <c r="DQ8" s="325"/>
      <c r="DR8" s="325"/>
      <c r="DS8" s="325"/>
      <c r="DT8" s="325"/>
      <c r="DU8" s="325"/>
      <c r="DV8" s="325"/>
      <c r="DW8" s="325"/>
      <c r="DX8" s="325"/>
      <c r="DY8" s="325"/>
      <c r="DZ8" s="325"/>
      <c r="EA8" s="325"/>
      <c r="EB8" s="325"/>
      <c r="EC8" s="325"/>
      <c r="ED8" s="325"/>
      <c r="EE8" s="325"/>
      <c r="EF8" s="325"/>
      <c r="EG8" s="325"/>
      <c r="EH8" s="325"/>
      <c r="EI8" s="325"/>
      <c r="EJ8" s="325"/>
      <c r="EK8" s="325"/>
      <c r="EL8" s="325"/>
      <c r="EM8" s="325"/>
      <c r="EN8" s="325"/>
      <c r="EO8" s="325"/>
      <c r="EP8" s="325"/>
      <c r="EQ8" s="325"/>
      <c r="ER8" s="325"/>
      <c r="ES8" s="325"/>
      <c r="ET8" s="325"/>
      <c r="EU8" s="325"/>
      <c r="EV8" s="325"/>
      <c r="EW8" s="325"/>
      <c r="EX8" s="325"/>
      <c r="EY8" s="325"/>
      <c r="EZ8" s="325"/>
      <c r="FA8" s="325"/>
      <c r="FB8" s="325"/>
      <c r="FC8" s="325"/>
      <c r="FD8" s="325"/>
      <c r="FE8" s="325"/>
      <c r="FF8" s="325"/>
      <c r="FG8" s="325"/>
      <c r="FH8" s="325"/>
      <c r="FI8" s="325"/>
      <c r="FJ8" s="325"/>
      <c r="FK8" s="325"/>
      <c r="FL8" s="325"/>
      <c r="FM8" s="325"/>
      <c r="FN8" s="325"/>
      <c r="FO8" s="325"/>
      <c r="FP8" s="325"/>
      <c r="FQ8" s="325"/>
      <c r="FR8" s="325"/>
      <c r="FS8" s="325"/>
      <c r="FT8" s="325"/>
      <c r="FU8" s="325"/>
      <c r="FV8" s="325"/>
      <c r="FW8" s="325"/>
      <c r="FX8" s="325"/>
      <c r="FY8" s="325"/>
      <c r="FZ8" s="325"/>
      <c r="GA8" s="325"/>
      <c r="GB8" s="325"/>
      <c r="GC8" s="325"/>
      <c r="GD8" s="325"/>
      <c r="GE8" s="325"/>
      <c r="GF8" s="325"/>
      <c r="GG8" s="325"/>
      <c r="GH8" s="325"/>
      <c r="GI8" s="325"/>
      <c r="GJ8" s="325"/>
      <c r="GK8" s="325"/>
      <c r="GL8" s="325"/>
      <c r="GM8" s="325"/>
      <c r="GN8" s="325"/>
      <c r="GO8" s="325"/>
      <c r="GP8" s="325"/>
      <c r="GQ8" s="325"/>
      <c r="GR8" s="325"/>
      <c r="GS8" s="325"/>
      <c r="GT8" s="325"/>
      <c r="GU8" s="325"/>
      <c r="GV8" s="325"/>
      <c r="GW8" s="325"/>
      <c r="GX8" s="325"/>
      <c r="GY8" s="325"/>
      <c r="GZ8" s="325"/>
      <c r="HA8" s="325"/>
      <c r="HB8" s="325"/>
      <c r="HC8" s="325"/>
      <c r="HD8" s="325"/>
      <c r="HE8" s="325"/>
      <c r="HF8" s="325"/>
      <c r="HG8" s="325"/>
      <c r="HH8" s="325"/>
      <c r="HI8" s="325"/>
      <c r="HJ8" s="325"/>
      <c r="HK8" s="325"/>
      <c r="HL8" s="325"/>
      <c r="HM8" s="325"/>
      <c r="HN8" s="325"/>
      <c r="HO8" s="325"/>
      <c r="HP8" s="325"/>
      <c r="HQ8" s="325"/>
      <c r="HR8" s="325"/>
      <c r="HS8" s="325"/>
      <c r="HT8" s="325"/>
      <c r="HU8" s="325"/>
      <c r="HV8" s="325"/>
      <c r="HW8" s="325"/>
      <c r="HX8" s="325"/>
      <c r="HY8" s="325"/>
      <c r="HZ8" s="325"/>
      <c r="IA8" s="325"/>
      <c r="IB8" s="325"/>
      <c r="IC8" s="325"/>
      <c r="ID8" s="325"/>
      <c r="IE8" s="325"/>
      <c r="IF8" s="325"/>
      <c r="IG8" s="325"/>
      <c r="IH8" s="325"/>
      <c r="II8" s="325"/>
      <c r="IJ8" s="325"/>
      <c r="IK8" s="325"/>
      <c r="IL8" s="325"/>
      <c r="IM8" s="325"/>
      <c r="IN8" s="325"/>
      <c r="IO8" s="325"/>
      <c r="IP8" s="325"/>
      <c r="IQ8" s="325"/>
      <c r="IR8" s="325"/>
      <c r="IS8" s="325"/>
      <c r="IT8" s="325"/>
      <c r="IU8" s="325"/>
      <c r="IV8" s="325"/>
    </row>
    <row r="9" spans="1:256" s="12" customFormat="1" ht="12.75" customHeight="1" x14ac:dyDescent="0.2">
      <c r="A9" s="21"/>
      <c r="B9" s="866" t="s">
        <v>82</v>
      </c>
      <c r="C9" s="867"/>
      <c r="D9" s="180">
        <f>IF(Ou_PrimariaDefiniti="Sì",IF(ISERROR(MATCH(ZonaTerritoriale,ElencoZone,0))=TRUE,0,INDEX(MatriceParametri,MATCH(ZonaTerritoriale,ElencoZone,0),5)),0)</f>
        <v>17.41</v>
      </c>
      <c r="E9" s="129"/>
      <c r="F9" s="165">
        <f>PRODUCT(D8,D9)</f>
        <v>0</v>
      </c>
      <c r="G9" s="167"/>
      <c r="H9" s="180">
        <f>IF(Ou_PrimariaDefiniti="Sì",IF(ISERROR(MATCH(ZonaTerritoriale,ElencoZone,0))=TRUE,0,INDEX(MatriceParametri,MATCH(ZonaTerritoriale,ElencoZone,0),6)),0)</f>
        <v>8.6999999999999993</v>
      </c>
      <c r="I9" s="129"/>
      <c r="J9" s="165">
        <f>PRODUCT(H8,H9)</f>
        <v>0</v>
      </c>
      <c r="K9" s="331"/>
      <c r="L9" s="875">
        <f>ROUND(SUM(F9,J9),2)</f>
        <v>0</v>
      </c>
      <c r="M9" s="876"/>
      <c r="N9" s="12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pans="1:256" s="12" customFormat="1" ht="12.75" customHeight="1" x14ac:dyDescent="0.2">
      <c r="A10" s="21"/>
      <c r="B10" s="862" t="s">
        <v>83</v>
      </c>
      <c r="C10" s="863"/>
      <c r="D10" s="180">
        <f>IF(Ou_SecDefiniti="Sì",IF(ISERROR(MATCH(ZonaTerritoriale,ElencoZone,0))=TRUE,0,INDEX(MatriceParametri,MATCH(ZonaTerritoriale,ElencoZone,0)+1,5)),0)</f>
        <v>7.42</v>
      </c>
      <c r="E10" s="129"/>
      <c r="F10" s="165">
        <f>PRODUCT(D8,D10)</f>
        <v>0</v>
      </c>
      <c r="G10" s="22"/>
      <c r="H10" s="180">
        <f>IF(Ou_SecDefiniti="Sì",IF(ISERROR(MATCH(ZonaTerritoriale,ElencoZone,0))=TRUE,0,INDEX(MatriceParametri,MATCH(ZonaTerritoriale,ElencoZone,0)+1,6)),0)</f>
        <v>3.72</v>
      </c>
      <c r="I10" s="129"/>
      <c r="J10" s="165">
        <f>PRODUCT(H8,H10)</f>
        <v>0</v>
      </c>
      <c r="K10" s="145"/>
      <c r="L10" s="875">
        <f>ROUND(SUM(F10,J10),2)</f>
        <v>0</v>
      </c>
      <c r="M10" s="876"/>
      <c r="N10" s="127"/>
      <c r="O10" s="17"/>
    </row>
    <row r="11" spans="1:256" s="12" customFormat="1" ht="12.75" customHeight="1" x14ac:dyDescent="0.2">
      <c r="A11" s="21"/>
      <c r="B11" s="862" t="s">
        <v>84</v>
      </c>
      <c r="C11" s="863"/>
      <c r="D11" s="180">
        <f>IF(ISERROR(MATCH(ZonaTerritoriale,ElencoZone,0))=TRUE,0,INDEX(MatriceParametri,MATCH(ZonaTerritoriale,ElencoZone,0)+2,5))</f>
        <v>3.57</v>
      </c>
      <c r="E11" s="129"/>
      <c r="F11" s="165">
        <f>PRODUCT(D8,D11)</f>
        <v>0</v>
      </c>
      <c r="G11" s="22"/>
      <c r="H11" s="180">
        <f>IF(ISERROR(MATCH(ZonaTerritoriale,ElencoZone,0))=TRUE,0,INDEX(MatriceParametri,MATCH(ZonaTerritoriale,ElencoZone,0)+2,6))</f>
        <v>1.79</v>
      </c>
      <c r="I11" s="129"/>
      <c r="J11" s="165">
        <f>PRODUCT(H8,H11)</f>
        <v>0</v>
      </c>
      <c r="K11" s="145"/>
      <c r="L11" s="875">
        <f>ROUND(SUM(F11,J11),2)</f>
        <v>0</v>
      </c>
      <c r="M11" s="876"/>
      <c r="N11" s="127"/>
      <c r="O11" s="17"/>
    </row>
    <row r="12" spans="1:256" s="326" customFormat="1" ht="20.100000000000001" customHeight="1" x14ac:dyDescent="0.2">
      <c r="A12" s="318"/>
      <c r="B12" s="885" t="str">
        <f>Parametri_DestUsoPersonalizzazione3</f>
        <v>Industria</v>
      </c>
      <c r="C12" s="886"/>
      <c r="D12" s="890">
        <f>Ou_Cost_IndArt_NuovaEdif</f>
        <v>0</v>
      </c>
      <c r="E12" s="890"/>
      <c r="F12" s="890"/>
      <c r="G12" s="321"/>
      <c r="H12" s="890">
        <f>Ou_Rist_IndArt</f>
        <v>0</v>
      </c>
      <c r="I12" s="890"/>
      <c r="J12" s="890"/>
      <c r="K12" s="328"/>
      <c r="L12" s="323"/>
      <c r="M12" s="323"/>
      <c r="N12" s="324"/>
      <c r="O12" s="325"/>
    </row>
    <row r="13" spans="1:256" s="12" customFormat="1" ht="12.75" customHeight="1" x14ac:dyDescent="0.2">
      <c r="A13" s="21"/>
      <c r="B13" s="866" t="s">
        <v>82</v>
      </c>
      <c r="C13" s="867"/>
      <c r="D13" s="180">
        <f>IF(Ou_PrimariaDefiniti="Sì",IF(ISERROR(MATCH(ZonaTerritoriale,ElencoZone,0))=TRUE,0,INDEX(MatriceParametri,MATCH(ZonaTerritoriale,ElencoZone,0),7)),0)</f>
        <v>18.75</v>
      </c>
      <c r="E13" s="129"/>
      <c r="F13" s="165">
        <f>PRODUCT(D12,D13)</f>
        <v>0</v>
      </c>
      <c r="G13" s="167"/>
      <c r="H13" s="180">
        <f>IF(Ou_PrimariaDefiniti="Sì",IF(ISERROR(MATCH(ZonaTerritoriale,ElencoZone,0))=TRUE,0,INDEX(MatriceParametri,MATCH(ZonaTerritoriale,ElencoZone,0),8)),0)</f>
        <v>9.3800000000000008</v>
      </c>
      <c r="I13" s="129"/>
      <c r="J13" s="165">
        <f>PRODUCT(H12,H13)</f>
        <v>0</v>
      </c>
      <c r="K13" s="331"/>
      <c r="L13" s="875">
        <f>ROUND(SUM(F13,J13),2)</f>
        <v>0</v>
      </c>
      <c r="M13" s="876"/>
      <c r="N13" s="127"/>
      <c r="O13" s="17"/>
    </row>
    <row r="14" spans="1:256" s="12" customFormat="1" ht="12.75" customHeight="1" x14ac:dyDescent="0.2">
      <c r="A14" s="21"/>
      <c r="B14" s="862" t="s">
        <v>83</v>
      </c>
      <c r="C14" s="863"/>
      <c r="D14" s="180">
        <f>IF(Ou_SecDefiniti="Sì",IF(ISERROR(MATCH(ZonaTerritoriale,ElencoZone,0))=TRUE,0,INDEX(MatriceParametri,MATCH(ZonaTerritoriale,ElencoZone,0)+1,7)),0)</f>
        <v>11.31</v>
      </c>
      <c r="E14" s="129"/>
      <c r="F14" s="165">
        <f>PRODUCT(D12,D14)</f>
        <v>0</v>
      </c>
      <c r="G14" s="22"/>
      <c r="H14" s="180">
        <f>IF(Ou_SecDefiniti="Sì",IF(ISERROR(MATCH(ZonaTerritoriale,ElencoZone,0))=TRUE,0,INDEX(MatriceParametri,MATCH(ZonaTerritoriale,ElencoZone,0)+1,8)),0)</f>
        <v>5.66</v>
      </c>
      <c r="I14" s="129"/>
      <c r="J14" s="165">
        <f>PRODUCT(H12,H14)</f>
        <v>0</v>
      </c>
      <c r="K14" s="145"/>
      <c r="L14" s="875">
        <f>ROUND(SUM(F14,J14),2)</f>
        <v>0</v>
      </c>
      <c r="M14" s="876"/>
      <c r="N14" s="127"/>
      <c r="O14" s="17"/>
    </row>
    <row r="15" spans="1:256" s="12" customFormat="1" ht="12.75" customHeight="1" x14ac:dyDescent="0.2">
      <c r="A15" s="21"/>
      <c r="B15" s="862" t="s">
        <v>84</v>
      </c>
      <c r="C15" s="863"/>
      <c r="D15" s="180">
        <f>IF(ISERROR(MATCH(ZonaTerritoriale,ElencoZone,0))=TRUE,0,INDEX(MatriceParametri,MATCH(ZonaTerritoriale,ElencoZone,0)+2,7))</f>
        <v>3.84</v>
      </c>
      <c r="E15" s="129"/>
      <c r="F15" s="165">
        <f>PRODUCT(D12,D15)</f>
        <v>0</v>
      </c>
      <c r="G15" s="22"/>
      <c r="H15" s="180">
        <f>IF(ISERROR(MATCH(ZonaTerritoriale,ElencoZone,0))=TRUE,0,INDEX(MatriceParametri,MATCH(ZonaTerritoriale,ElencoZone,0)+2,8))</f>
        <v>1.92</v>
      </c>
      <c r="I15" s="129"/>
      <c r="J15" s="165">
        <f>PRODUCT(H12,H15)</f>
        <v>0</v>
      </c>
      <c r="K15" s="145"/>
      <c r="L15" s="875">
        <f>ROUND(SUM(F15,J15),2)</f>
        <v>0</v>
      </c>
      <c r="M15" s="876"/>
      <c r="N15" s="127"/>
      <c r="O15" s="17"/>
    </row>
    <row r="16" spans="1:256" s="326" customFormat="1" ht="20.100000000000001" customHeight="1" x14ac:dyDescent="0.2">
      <c r="A16" s="318"/>
      <c r="B16" s="885" t="str">
        <f>Parametri_DestUsoPersonalizzazione4</f>
        <v>Industriale alberghiera (alberghi)</v>
      </c>
      <c r="C16" s="886"/>
      <c r="D16" s="890">
        <f>Ou_Cost_IndAlb_NuovaEdif</f>
        <v>0</v>
      </c>
      <c r="E16" s="890"/>
      <c r="F16" s="890"/>
      <c r="G16" s="321"/>
      <c r="H16" s="890">
        <f>Ou_Rist_IndAlb</f>
        <v>0</v>
      </c>
      <c r="I16" s="890"/>
      <c r="J16" s="890"/>
      <c r="K16" s="328"/>
      <c r="L16" s="323"/>
      <c r="M16" s="323"/>
      <c r="N16" s="324"/>
      <c r="O16" s="325"/>
    </row>
    <row r="17" spans="1:15" s="12" customFormat="1" ht="12.75" customHeight="1" x14ac:dyDescent="0.2">
      <c r="A17" s="21"/>
      <c r="B17" s="866" t="s">
        <v>82</v>
      </c>
      <c r="C17" s="867"/>
      <c r="D17" s="180">
        <f>IF(Ou_PrimariaDefiniti="Sì",IF(ISERROR(MATCH(ZonaTerritoriale,ElencoZone,0))=TRUE,0,INDEX(MatriceParametri,MATCH(ZonaTerritoriale,ElencoZone,0),9)),0)</f>
        <v>27.55</v>
      </c>
      <c r="E17" s="129"/>
      <c r="F17" s="165">
        <f>PRODUCT(D16,D17)</f>
        <v>0</v>
      </c>
      <c r="G17" s="167"/>
      <c r="H17" s="180">
        <f>IF(Ou_PrimariaDefiniti="Sì",IF(ISERROR(MATCH(ZonaTerritoriale,ElencoZone,0))=TRUE,0,INDEX(MatriceParametri,MATCH(ZonaTerritoriale,ElencoZone,0),10)),0)</f>
        <v>13.79</v>
      </c>
      <c r="I17" s="129"/>
      <c r="J17" s="165">
        <f>PRODUCT(H16,H17)</f>
        <v>0</v>
      </c>
      <c r="K17" s="331"/>
      <c r="L17" s="875">
        <f>ROUND(SUM(F17,J17),2)</f>
        <v>0</v>
      </c>
      <c r="M17" s="876"/>
      <c r="N17" s="127"/>
      <c r="O17" s="17"/>
    </row>
    <row r="18" spans="1:15" s="12" customFormat="1" ht="12.75" customHeight="1" x14ac:dyDescent="0.2">
      <c r="A18" s="21"/>
      <c r="B18" s="862" t="s">
        <v>83</v>
      </c>
      <c r="C18" s="863"/>
      <c r="D18" s="180">
        <f>IF(Ou_SecDefiniti="Sì",IF(ISERROR(MATCH(ZonaTerritoriale,ElencoZone,0))=TRUE,0,INDEX(MatriceParametri,MATCH(ZonaTerritoriale,ElencoZone,0)+1,9)),0)</f>
        <v>23.01</v>
      </c>
      <c r="E18" s="129"/>
      <c r="F18" s="165">
        <f>PRODUCT(D16,D18)</f>
        <v>0</v>
      </c>
      <c r="G18" s="22"/>
      <c r="H18" s="180">
        <f>IF(Ou_SecDefiniti="Sì",IF(ISERROR(MATCH(ZonaTerritoriale,ElencoZone,0))=TRUE,0,INDEX(MatriceParametri,MATCH(ZonaTerritoriale,ElencoZone,0)+1,10)),0)</f>
        <v>11.51</v>
      </c>
      <c r="I18" s="129"/>
      <c r="J18" s="165">
        <f>PRODUCT(H16,H18)</f>
        <v>0</v>
      </c>
      <c r="K18" s="145"/>
      <c r="L18" s="875">
        <f>ROUND(SUM(F18,J18),2)</f>
        <v>0</v>
      </c>
      <c r="M18" s="876"/>
      <c r="N18" s="127"/>
      <c r="O18" s="17"/>
    </row>
    <row r="19" spans="1:15" s="12" customFormat="1" ht="12.75" customHeight="1" x14ac:dyDescent="0.2">
      <c r="A19" s="21"/>
      <c r="B19" s="862" t="s">
        <v>84</v>
      </c>
      <c r="C19" s="863"/>
      <c r="D19" s="180">
        <f>IF(ISERROR(MATCH(ZonaTerritoriale,ElencoZone,0))=TRUE,0,INDEX(MatriceParametri,MATCH(ZonaTerritoriale,ElencoZone,0)+2,9))</f>
        <v>0</v>
      </c>
      <c r="E19" s="129"/>
      <c r="F19" s="165">
        <f>PRODUCT(D16,D19)</f>
        <v>0</v>
      </c>
      <c r="G19" s="22"/>
      <c r="H19" s="180">
        <f>IF(ISERROR(MATCH(ZonaTerritoriale,ElencoZone,0))=TRUE,0,INDEX(MatriceParametri,MATCH(ZonaTerritoriale,ElencoZone,0)+2,10))</f>
        <v>0</v>
      </c>
      <c r="I19" s="129"/>
      <c r="J19" s="165">
        <f>PRODUCT(H16,H19)</f>
        <v>0</v>
      </c>
      <c r="K19" s="145"/>
      <c r="L19" s="875">
        <f>ROUND(SUM(F19,J19),2)</f>
        <v>0</v>
      </c>
      <c r="M19" s="876"/>
      <c r="N19" s="127"/>
      <c r="O19" s="17"/>
    </row>
    <row r="20" spans="1:15" s="326" customFormat="1" ht="20.100000000000001" customHeight="1" x14ac:dyDescent="0.2">
      <c r="A20" s="318"/>
      <c r="B20" s="864" t="str">
        <f>Parametri_DestUsoPersonalizzazione5</f>
        <v>Industriale alberghiera (altre tipologie)</v>
      </c>
      <c r="C20" s="865"/>
      <c r="D20" s="890">
        <f>Ou_Cost_Parc_NuovaEdif</f>
        <v>0</v>
      </c>
      <c r="E20" s="890"/>
      <c r="F20" s="890"/>
      <c r="G20" s="323"/>
      <c r="H20" s="890">
        <f>Ou_Rist_ParSil</f>
        <v>0</v>
      </c>
      <c r="I20" s="890"/>
      <c r="J20" s="890"/>
      <c r="K20" s="328"/>
      <c r="L20" s="323"/>
      <c r="M20" s="323"/>
      <c r="N20" s="324"/>
      <c r="O20" s="325"/>
    </row>
    <row r="21" spans="1:15" s="8" customFormat="1" ht="12.75" customHeight="1" x14ac:dyDescent="0.2">
      <c r="A21" s="21"/>
      <c r="B21" s="866" t="s">
        <v>82</v>
      </c>
      <c r="C21" s="867"/>
      <c r="D21" s="177">
        <f>IF(Ou_PrimariaDefiniti="Sì",IF(ISERROR(MATCH(ZonaTerritoriale,ElencoZone,0))=TRUE,0,INDEX(MatriceParametri,MATCH(ZonaTerritoriale,ElencoZone,0),11)),0)</f>
        <v>27.55</v>
      </c>
      <c r="E21" s="129"/>
      <c r="F21" s="165">
        <f>PRODUCT(D20,D21)</f>
        <v>0</v>
      </c>
      <c r="G21" s="167"/>
      <c r="H21" s="180">
        <f>IF(Ou_PrimariaDefiniti="Sì",IF(ISERROR(MATCH(ZonaTerritoriale,ElencoZone,0))=TRUE,0,INDEX(MatriceParametri,MATCH(ZonaTerritoriale,ElencoZone,0),12)),0)</f>
        <v>13.79</v>
      </c>
      <c r="I21" s="129"/>
      <c r="J21" s="165">
        <f>PRODUCT(H20,H21)</f>
        <v>0</v>
      </c>
      <c r="K21" s="331"/>
      <c r="L21" s="875">
        <f>ROUND(SUM(F21,J21),2)</f>
        <v>0</v>
      </c>
      <c r="M21" s="876"/>
      <c r="N21" s="127"/>
      <c r="O21" s="1"/>
    </row>
    <row r="22" spans="1:15" s="8" customFormat="1" ht="12.75" customHeight="1" x14ac:dyDescent="0.2">
      <c r="A22" s="21"/>
      <c r="B22" s="862" t="s">
        <v>83</v>
      </c>
      <c r="C22" s="863"/>
      <c r="D22" s="178">
        <f>IF(Ou_SecDefiniti="Sì",IF(ISERROR(MATCH(ZonaTerritoriale,ElencoZone,0))=TRUE,0,INDEX(MatriceParametri,MATCH(ZonaTerritoriale,ElencoZone,0)+1,11)),0)</f>
        <v>25.71</v>
      </c>
      <c r="E22" s="129"/>
      <c r="F22" s="165">
        <f>PRODUCT(D20,D22)</f>
        <v>0</v>
      </c>
      <c r="G22" s="22"/>
      <c r="H22" s="180">
        <f>IF(Ou_SecDefiniti="Sì",IF(ISERROR(MATCH(ZonaTerritoriale,ElencoZone,0))=TRUE,0,INDEX(MatriceParametri,MATCH(ZonaTerritoriale,ElencoZone,0)+1,12)),0)</f>
        <v>12.85</v>
      </c>
      <c r="I22" s="129"/>
      <c r="J22" s="165">
        <f>PRODUCT(H20,H22)</f>
        <v>0</v>
      </c>
      <c r="K22" s="145"/>
      <c r="L22" s="875">
        <f>ROUND(SUM(F22,J22),2)</f>
        <v>0</v>
      </c>
      <c r="M22" s="876"/>
      <c r="N22" s="127"/>
      <c r="O22" s="1"/>
    </row>
    <row r="23" spans="1:15" s="12" customFormat="1" ht="12.75" customHeight="1" x14ac:dyDescent="0.2">
      <c r="A23" s="21"/>
      <c r="B23" s="862" t="s">
        <v>84</v>
      </c>
      <c r="C23" s="863"/>
      <c r="D23" s="180">
        <f>IF(ISERROR(MATCH(ZonaTerritoriale,ElencoZone,0))=TRUE,0,INDEX(MatriceParametri,MATCH(ZonaTerritoriale,ElencoZone,0)+2,11))</f>
        <v>0</v>
      </c>
      <c r="E23" s="129"/>
      <c r="F23" s="165">
        <f>PRODUCT(D20,D23)</f>
        <v>0</v>
      </c>
      <c r="G23" s="22"/>
      <c r="H23" s="180">
        <f>IF(ISERROR(MATCH(ZonaTerritoriale,ElencoZone,0))=TRUE,0,INDEX(MatriceParametri,MATCH(ZonaTerritoriale,ElencoZone,0)+2,12))</f>
        <v>0</v>
      </c>
      <c r="I23" s="129"/>
      <c r="J23" s="165">
        <f>PRODUCT(H20,H23)</f>
        <v>0</v>
      </c>
      <c r="K23" s="145"/>
      <c r="L23" s="875">
        <f>ROUND(SUM(F23,J23),2)</f>
        <v>0</v>
      </c>
      <c r="M23" s="876"/>
      <c r="N23" s="127"/>
      <c r="O23" s="17"/>
    </row>
    <row r="24" spans="1:15" s="326" customFormat="1" ht="20.100000000000001" customHeight="1" x14ac:dyDescent="0.2">
      <c r="A24" s="318"/>
      <c r="B24" s="330" t="str">
        <f>Parametri_DestUsoPersonalizzazione6</f>
        <v>Attività direzionali e commerciali</v>
      </c>
      <c r="C24" s="329"/>
      <c r="D24" s="890">
        <f>Ou_Cost_AttCulSan_NuovaEdif</f>
        <v>0</v>
      </c>
      <c r="E24" s="890"/>
      <c r="F24" s="890"/>
      <c r="G24" s="323"/>
      <c r="H24" s="890">
        <f>Ou_Rist_CultSan</f>
        <v>0</v>
      </c>
      <c r="I24" s="890"/>
      <c r="J24" s="890"/>
      <c r="K24" s="328"/>
      <c r="L24" s="323"/>
      <c r="M24" s="323"/>
      <c r="N24" s="324"/>
      <c r="O24" s="325"/>
    </row>
    <row r="25" spans="1:15" s="8" customFormat="1" ht="12.75" customHeight="1" x14ac:dyDescent="0.2">
      <c r="A25" s="21"/>
      <c r="B25" s="866" t="s">
        <v>82</v>
      </c>
      <c r="C25" s="867"/>
      <c r="D25" s="177">
        <f>IF(Ou_PrimariaDefiniti="Sì",IF(ISERROR(MATCH(ZonaTerritoriale,ElencoZone,0))=TRUE,0,INDEX(MatriceParametri,MATCH(ZonaTerritoriale,ElencoZone,0),13)),0)</f>
        <v>71.98</v>
      </c>
      <c r="E25" s="129"/>
      <c r="F25" s="165">
        <f>PRODUCT(D24,D25)</f>
        <v>0</v>
      </c>
      <c r="G25" s="167"/>
      <c r="H25" s="180">
        <f>IF(Ou_PrimariaDefiniti="Sì",IF(ISERROR(MATCH(ZonaTerritoriale,ElencoZone,0))=TRUE,0,INDEX(MatriceParametri,MATCH(ZonaTerritoriale,ElencoZone,0),14)),0)</f>
        <v>13.79</v>
      </c>
      <c r="I25" s="129"/>
      <c r="J25" s="165">
        <f>PRODUCT(H24,H25)</f>
        <v>0</v>
      </c>
      <c r="K25" s="331"/>
      <c r="L25" s="875">
        <f>ROUND(SUM(F25,J25),2)</f>
        <v>0</v>
      </c>
      <c r="M25" s="876"/>
      <c r="N25" s="127"/>
      <c r="O25" s="1"/>
    </row>
    <row r="26" spans="1:15" s="8" customFormat="1" ht="12.75" customHeight="1" x14ac:dyDescent="0.2">
      <c r="A26" s="21"/>
      <c r="B26" s="862" t="s">
        <v>83</v>
      </c>
      <c r="C26" s="863"/>
      <c r="D26" s="178">
        <f>IF(Ou_SecDefiniti="Sì",IF(ISERROR(MATCH(ZonaTerritoriale,ElencoZone,0))=TRUE,0,INDEX(MatriceParametri,MATCH(ZonaTerritoriale,ElencoZone,0)+1,13)),0)</f>
        <v>45.4</v>
      </c>
      <c r="E26" s="129"/>
      <c r="F26" s="165">
        <f>PRODUCT(D24,D26)</f>
        <v>0</v>
      </c>
      <c r="G26" s="22"/>
      <c r="H26" s="180">
        <f>IF(Ou_SecDefiniti="Sì",IF(ISERROR(MATCH(ZonaTerritoriale,ElencoZone,0))=TRUE,0,INDEX(MatriceParametri,MATCH(ZonaTerritoriale,ElencoZone,0)+1,14)),0)</f>
        <v>12.85</v>
      </c>
      <c r="I26" s="129"/>
      <c r="J26" s="165">
        <f>PRODUCT(H24,H26)</f>
        <v>0</v>
      </c>
      <c r="K26" s="145"/>
      <c r="L26" s="875">
        <f>ROUND(SUM(F26,J26),2)</f>
        <v>0</v>
      </c>
      <c r="M26" s="876"/>
      <c r="N26" s="127"/>
      <c r="O26" s="1"/>
    </row>
    <row r="27" spans="1:15" s="12" customFormat="1" ht="12.75" customHeight="1" x14ac:dyDescent="0.2">
      <c r="A27" s="21"/>
      <c r="B27" s="862" t="s">
        <v>84</v>
      </c>
      <c r="C27" s="863"/>
      <c r="D27" s="180">
        <f>IF(ISERROR(MATCH(ZonaTerritoriale,ElencoZone,0))=TRUE,0,INDEX(MatriceParametri,MATCH(ZonaTerritoriale,ElencoZone,0)+2,13))</f>
        <v>0</v>
      </c>
      <c r="E27" s="129"/>
      <c r="F27" s="165">
        <f>PRODUCT(D24,D27)</f>
        <v>0</v>
      </c>
      <c r="G27" s="22"/>
      <c r="H27" s="180">
        <f>IF(ISERROR(MATCH(ZonaTerritoriale,ElencoZone,0))=TRUE,0,INDEX(MatriceParametri,MATCH(ZonaTerritoriale,ElencoZone,0)+2,14))</f>
        <v>0</v>
      </c>
      <c r="I27" s="129"/>
      <c r="J27" s="165">
        <f>PRODUCT(H24,H27)</f>
        <v>0</v>
      </c>
      <c r="K27" s="145"/>
      <c r="L27" s="875">
        <f>ROUND(SUM(F27,J27),2)</f>
        <v>0</v>
      </c>
      <c r="M27" s="876"/>
      <c r="N27" s="127"/>
      <c r="O27" s="17"/>
    </row>
    <row r="28" spans="1:15" s="326" customFormat="1" ht="20.100000000000001" customHeight="1" x14ac:dyDescent="0.2">
      <c r="A28" s="318"/>
      <c r="B28" s="864" t="str">
        <f>Parametri_DestUsoPersonalizzazione7</f>
        <v>Parcheggi coperti e solos autoveicoli (per posto macchina)</v>
      </c>
      <c r="C28" s="865"/>
      <c r="D28" s="890">
        <f>Ou_Cost_AttSport_NuovaEdif</f>
        <v>0</v>
      </c>
      <c r="E28" s="890"/>
      <c r="F28" s="890"/>
      <c r="G28" s="323"/>
      <c r="H28" s="890">
        <f>Ou_Rist_AttSpor</f>
        <v>0</v>
      </c>
      <c r="I28" s="890"/>
      <c r="J28" s="890"/>
      <c r="K28" s="328"/>
      <c r="L28" s="323"/>
      <c r="M28" s="323"/>
      <c r="N28" s="324"/>
      <c r="O28" s="325"/>
    </row>
    <row r="29" spans="1:15" s="8" customFormat="1" ht="12.75" customHeight="1" x14ac:dyDescent="0.2">
      <c r="A29" s="21"/>
      <c r="B29" s="866" t="s">
        <v>82</v>
      </c>
      <c r="C29" s="867"/>
      <c r="D29" s="177">
        <f>IF(Ou_PrimariaDefiniti="Sì",IF(ISERROR(MATCH(ZonaTerritoriale,ElencoZone,0))=TRUE,0,INDEX(MatriceParametri,MATCH(ZonaTerritoriale,ElencoZone,0),15)),0)</f>
        <v>14.4</v>
      </c>
      <c r="E29" s="129"/>
      <c r="F29" s="165">
        <f>PRODUCT(D28,D29)</f>
        <v>0</v>
      </c>
      <c r="G29" s="167"/>
      <c r="H29" s="180">
        <f>IF(Ou_PrimariaDefiniti="Sì",IF(ISERROR(MATCH(ZonaTerritoriale,ElencoZone,0))=TRUE,0,INDEX(MatriceParametri,MATCH(ZonaTerritoriale,ElencoZone,0),16)),0)</f>
        <v>9.08</v>
      </c>
      <c r="I29" s="129"/>
      <c r="J29" s="165">
        <f>PRODUCT(H28,H29)</f>
        <v>0</v>
      </c>
      <c r="K29" s="331"/>
      <c r="L29" s="875">
        <f>ROUND(SUM(F29,J29),2)</f>
        <v>0</v>
      </c>
      <c r="M29" s="876"/>
      <c r="N29" s="127"/>
      <c r="O29" s="1"/>
    </row>
    <row r="30" spans="1:15" s="8" customFormat="1" ht="12.75" customHeight="1" x14ac:dyDescent="0.2">
      <c r="A30" s="21"/>
      <c r="B30" s="862" t="s">
        <v>83</v>
      </c>
      <c r="C30" s="863"/>
      <c r="D30" s="178">
        <f>IF(Ou_SecDefiniti="Sì",IF(ISERROR(MATCH(ZonaTerritoriale,ElencoZone,0))=TRUE,0,INDEX(MatriceParametri,MATCH(ZonaTerritoriale,ElencoZone,0)+1,15)),0)</f>
        <v>7.2</v>
      </c>
      <c r="E30" s="129"/>
      <c r="F30" s="165">
        <f>PRODUCT(D28,D30)</f>
        <v>0</v>
      </c>
      <c r="G30" s="22"/>
      <c r="H30" s="180">
        <f>IF(Ou_SecDefiniti="Sì",IF(ISERROR(MATCH(ZonaTerritoriale,ElencoZone,0))=TRUE,0,INDEX(MatriceParametri,MATCH(ZonaTerritoriale,ElencoZone,0)+1,16)),0)</f>
        <v>4.54</v>
      </c>
      <c r="I30" s="129"/>
      <c r="J30" s="165">
        <f>PRODUCT(H28,H30)</f>
        <v>0</v>
      </c>
      <c r="K30" s="145"/>
      <c r="L30" s="875">
        <f>ROUND(SUM(F30,J30),2)</f>
        <v>0</v>
      </c>
      <c r="M30" s="876"/>
      <c r="N30" s="127"/>
      <c r="O30" s="1"/>
    </row>
    <row r="31" spans="1:15" s="12" customFormat="1" ht="12.75" customHeight="1" x14ac:dyDescent="0.2">
      <c r="A31" s="21"/>
      <c r="B31" s="862" t="s">
        <v>84</v>
      </c>
      <c r="C31" s="863"/>
      <c r="D31" s="180">
        <f>IF(ISERROR(MATCH(ZonaTerritoriale,ElencoZone,0))=TRUE,0,INDEX(MatriceParametri,MATCH(ZonaTerritoriale,ElencoZone,0)+2,15))</f>
        <v>0</v>
      </c>
      <c r="E31" s="129"/>
      <c r="F31" s="165">
        <f>PRODUCT(D28,D31)</f>
        <v>0</v>
      </c>
      <c r="G31" s="22"/>
      <c r="H31" s="180">
        <f>IF(ISERROR(MATCH(ZonaTerritoriale,ElencoZone,0))=TRUE,0,INDEX(MatriceParametri,MATCH(ZonaTerritoriale,ElencoZone,0)+2,16))</f>
        <v>0</v>
      </c>
      <c r="I31" s="129"/>
      <c r="J31" s="165">
        <f>PRODUCT(H28,H31)</f>
        <v>0</v>
      </c>
      <c r="K31" s="145"/>
      <c r="L31" s="875">
        <f>ROUND(SUM(F31,J31),2)</f>
        <v>0</v>
      </c>
      <c r="M31" s="876"/>
      <c r="N31" s="127"/>
      <c r="O31" s="17"/>
    </row>
    <row r="32" spans="1:15" s="326" customFormat="1" ht="20.100000000000001" customHeight="1" x14ac:dyDescent="0.2">
      <c r="A32" s="318"/>
      <c r="B32" s="864" t="str">
        <f>Parametri_DestUsoPersonalizzazione8</f>
        <v>Attrezzature culturali sanitarie e assistenziali</v>
      </c>
      <c r="C32" s="865"/>
      <c r="D32" s="890">
        <f>Ou_Cost_AttSpett_NuovaEdif</f>
        <v>0</v>
      </c>
      <c r="E32" s="890"/>
      <c r="F32" s="890"/>
      <c r="G32" s="323"/>
      <c r="H32" s="890">
        <f>Ou_Rist_AttSpet</f>
        <v>0</v>
      </c>
      <c r="I32" s="890"/>
      <c r="J32" s="890"/>
      <c r="K32" s="328"/>
      <c r="L32" s="323"/>
      <c r="M32" s="323"/>
      <c r="N32" s="324"/>
      <c r="O32" s="325"/>
    </row>
    <row r="33" spans="1:15" s="8" customFormat="1" ht="12.75" customHeight="1" x14ac:dyDescent="0.2">
      <c r="A33" s="21"/>
      <c r="B33" s="866" t="s">
        <v>82</v>
      </c>
      <c r="C33" s="867"/>
      <c r="D33" s="177">
        <f>IF(Ou_PrimariaDefiniti="Sì",IF(ISERROR(MATCH(ZonaTerritoriale,ElencoZone,0))=TRUE,0,INDEX(MatriceParametri,MATCH(ZonaTerritoriale,ElencoZone,0),17)),0)</f>
        <v>14.4</v>
      </c>
      <c r="E33" s="129"/>
      <c r="F33" s="165">
        <f>PRODUCT(D32,D33)</f>
        <v>0</v>
      </c>
      <c r="G33" s="167"/>
      <c r="H33" s="180">
        <f>IF(Ou_PrimariaDefiniti="Sì",IF(ISERROR(MATCH(ZonaTerritoriale,ElencoZone,0))=TRUE,0,INDEX(MatriceParametri,MATCH(ZonaTerritoriale,ElencoZone,0),18)),0)</f>
        <v>7.2</v>
      </c>
      <c r="I33" s="129"/>
      <c r="J33" s="165">
        <f>PRODUCT(H32,H33)</f>
        <v>0</v>
      </c>
      <c r="K33" s="331"/>
      <c r="L33" s="875">
        <f>ROUND(SUM(F33,J33),2)</f>
        <v>0</v>
      </c>
      <c r="M33" s="876"/>
      <c r="N33" s="127"/>
      <c r="O33" s="1"/>
    </row>
    <row r="34" spans="1:15" s="8" customFormat="1" ht="12.75" customHeight="1" x14ac:dyDescent="0.2">
      <c r="A34" s="21"/>
      <c r="B34" s="862" t="s">
        <v>83</v>
      </c>
      <c r="C34" s="863"/>
      <c r="D34" s="178">
        <f>IF(Ou_SecDefiniti="Sì",IF(ISERROR(MATCH(ZonaTerritoriale,ElencoZone,0))=TRUE,0,INDEX(MatriceParametri,MATCH(ZonaTerritoriale,ElencoZone,0)+1,17)),0)</f>
        <v>9.08</v>
      </c>
      <c r="E34" s="129"/>
      <c r="F34" s="165">
        <f>PRODUCT(D32,D34)</f>
        <v>0</v>
      </c>
      <c r="G34" s="22"/>
      <c r="H34" s="180">
        <f>IF(Ou_SecDefiniti="Sì",IF(ISERROR(MATCH(ZonaTerritoriale,ElencoZone,0))=TRUE,0,INDEX(MatriceParametri,MATCH(ZonaTerritoriale,ElencoZone,0)+1,18)),0)</f>
        <v>4.54</v>
      </c>
      <c r="I34" s="129"/>
      <c r="J34" s="165">
        <f>PRODUCT(H32,H34)</f>
        <v>0</v>
      </c>
      <c r="K34" s="145"/>
      <c r="L34" s="875">
        <f>ROUND(SUM(F34,J34),2)</f>
        <v>0</v>
      </c>
      <c r="M34" s="876"/>
      <c r="N34" s="127"/>
      <c r="O34" s="1"/>
    </row>
    <row r="35" spans="1:15" s="12" customFormat="1" ht="12.75" customHeight="1" x14ac:dyDescent="0.2">
      <c r="A35" s="21"/>
      <c r="B35" s="862" t="s">
        <v>84</v>
      </c>
      <c r="C35" s="863"/>
      <c r="D35" s="180">
        <f>IF(ISERROR(MATCH(ZonaTerritoriale,ElencoZone,0))=TRUE,0,INDEX(MatriceParametri,MATCH(ZonaTerritoriale,ElencoZone,0)+2,17))</f>
        <v>0</v>
      </c>
      <c r="E35" s="129"/>
      <c r="F35" s="165">
        <f>PRODUCT(D32,D35)</f>
        <v>0</v>
      </c>
      <c r="G35" s="22"/>
      <c r="H35" s="180">
        <f>IF(ISERROR(MATCH(ZonaTerritoriale,ElencoZone,0))=TRUE,0,INDEX(MatriceParametri,MATCH(ZonaTerritoriale,ElencoZone,0)+2,18))</f>
        <v>0</v>
      </c>
      <c r="I35" s="129"/>
      <c r="J35" s="165">
        <f>PRODUCT(H32,H35)</f>
        <v>0</v>
      </c>
      <c r="K35" s="145"/>
      <c r="L35" s="875">
        <f>ROUND(SUM(F35,J35),2)</f>
        <v>0</v>
      </c>
      <c r="M35" s="876"/>
      <c r="N35" s="127"/>
      <c r="O35" s="17"/>
    </row>
    <row r="36" spans="1:15" s="326" customFormat="1" ht="20.100000000000001" customHeight="1" x14ac:dyDescent="0.2">
      <c r="A36" s="318"/>
      <c r="B36" s="319" t="s">
        <v>108</v>
      </c>
      <c r="C36" s="329"/>
      <c r="D36" s="890">
        <f>Ou_NuovaEd_Sottotetti_ParReale</f>
        <v>0</v>
      </c>
      <c r="E36" s="890"/>
      <c r="F36" s="890"/>
      <c r="G36" s="323"/>
      <c r="H36" s="323"/>
      <c r="I36" s="323"/>
      <c r="J36" s="323"/>
      <c r="K36" s="323"/>
      <c r="L36" s="323"/>
      <c r="M36" s="323"/>
      <c r="N36" s="324"/>
      <c r="O36" s="325"/>
    </row>
    <row r="37" spans="1:15" s="12" customFormat="1" ht="12.75" customHeight="1" x14ac:dyDescent="0.2">
      <c r="A37" s="21"/>
      <c r="B37" s="130"/>
      <c r="C37" s="131" t="s">
        <v>82</v>
      </c>
      <c r="D37" s="177">
        <f>IF(Ou_PrimariaDefiniti="Sì",IF(ISERROR(MATCH(ZonaTerritoriale,ElencoZone,0))=TRUE,0,INDEX(MatriceParametri,MATCH(ZonaTerritoriale,ElencoZone,0),1)),0)</f>
        <v>7.36</v>
      </c>
      <c r="E37" s="129"/>
      <c r="F37" s="165">
        <f>PRODUCT(D36,D37)</f>
        <v>0</v>
      </c>
      <c r="G37" s="332"/>
      <c r="H37" s="333"/>
      <c r="I37" s="333"/>
      <c r="J37" s="333"/>
      <c r="K37" s="334"/>
      <c r="L37" s="900">
        <f>F37</f>
        <v>0</v>
      </c>
      <c r="M37" s="900"/>
      <c r="N37" s="127"/>
      <c r="O37" s="17"/>
    </row>
    <row r="38" spans="1:15" s="12" customFormat="1" ht="12.75" customHeight="1" x14ac:dyDescent="0.2">
      <c r="A38" s="21"/>
      <c r="B38" s="128"/>
      <c r="C38" s="131" t="s">
        <v>83</v>
      </c>
      <c r="D38" s="178">
        <f>IF(Ou_SecDefiniti="Sì",IF(ISERROR(MATCH(ZonaTerritoriale,ElencoZone,0))=TRUE,0,INDEX(MatriceParametri,MATCH(ZonaTerritoriale,ElencoZone,0)+1,1)),0)</f>
        <v>17.489999999999998</v>
      </c>
      <c r="E38" s="129"/>
      <c r="F38" s="165">
        <f>PRODUCT(D36,D38)</f>
        <v>0</v>
      </c>
      <c r="G38" s="22"/>
      <c r="H38" s="22"/>
      <c r="I38" s="22"/>
      <c r="J38" s="22"/>
      <c r="K38" s="22"/>
      <c r="L38" s="900">
        <f>F38</f>
        <v>0</v>
      </c>
      <c r="M38" s="900"/>
      <c r="N38" s="127"/>
      <c r="O38" s="17"/>
    </row>
    <row r="39" spans="1:15" s="12" customFormat="1" ht="12.75" customHeight="1" x14ac:dyDescent="0.2">
      <c r="A39" s="21"/>
      <c r="B39" s="130"/>
      <c r="C39" s="131" t="s">
        <v>84</v>
      </c>
      <c r="D39" s="178">
        <f>IF(ISERROR(MATCH(ZonaTerritoriale,ElencoZone,0))=TRUE,0,INDEX(MatriceParametri,MATCH(ZonaTerritoriale,ElencoZone,0)+2,1))</f>
        <v>0</v>
      </c>
      <c r="E39" s="129"/>
      <c r="F39" s="165">
        <f>PRODUCT(D36,D39)</f>
        <v>0</v>
      </c>
      <c r="G39" s="22"/>
      <c r="H39" s="22"/>
      <c r="I39" s="22"/>
      <c r="J39" s="22"/>
      <c r="K39" s="22"/>
      <c r="L39" s="900">
        <f>SUM(F39,J39)</f>
        <v>0</v>
      </c>
      <c r="M39" s="900"/>
      <c r="N39" s="127"/>
      <c r="O39" s="17"/>
    </row>
    <row r="40" spans="1:15" s="326" customFormat="1" ht="20.100000000000001" customHeight="1" x14ac:dyDescent="0.2">
      <c r="A40" s="318"/>
      <c r="B40" s="864" t="str">
        <f>Parametri_DestUsoPersonalizzazione9</f>
        <v>Attrezzature sportive</v>
      </c>
      <c r="C40" s="865"/>
      <c r="D40" s="890">
        <f>Ou_Cost_Personalizzazione1_NuovaEdif</f>
        <v>0</v>
      </c>
      <c r="E40" s="890"/>
      <c r="F40" s="890"/>
      <c r="G40" s="323"/>
      <c r="H40" s="890">
        <f>Ou_Rist_Personalizzazione1</f>
        <v>0</v>
      </c>
      <c r="I40" s="890"/>
      <c r="J40" s="890"/>
      <c r="K40" s="328"/>
      <c r="L40" s="323"/>
      <c r="M40" s="323"/>
      <c r="N40" s="324"/>
      <c r="O40" s="325"/>
    </row>
    <row r="41" spans="1:15" s="8" customFormat="1" ht="12.75" customHeight="1" x14ac:dyDescent="0.2">
      <c r="A41" s="21"/>
      <c r="B41" s="866" t="s">
        <v>82</v>
      </c>
      <c r="C41" s="867"/>
      <c r="D41" s="177">
        <f>IF(Ou_PrimariaDefiniti="Sì",IF(ISERROR(MATCH(ZonaTerritoriale,ElencoZone,0))=TRUE,0,INDEX(MatriceParametri,MATCH(ZonaTerritoriale,ElencoZone,0),19)),0)</f>
        <v>7.2</v>
      </c>
      <c r="E41" s="129"/>
      <c r="F41" s="165">
        <f>PRODUCT(D40,D41)</f>
        <v>0</v>
      </c>
      <c r="G41" s="167"/>
      <c r="H41" s="180">
        <f>IF(Ou_PrimariaDefiniti="Sì",IF(ISERROR(MATCH(ZonaTerritoriale,ElencoZone,0))=TRUE,0,INDEX(MatriceParametri,MATCH(ZonaTerritoriale,ElencoZone,0),20)),0)</f>
        <v>3.61</v>
      </c>
      <c r="I41" s="129"/>
      <c r="J41" s="165">
        <f>PRODUCT(H40,H41)</f>
        <v>0</v>
      </c>
      <c r="K41" s="331"/>
      <c r="L41" s="900">
        <f>ROUND(SUM(F41,J41),2)</f>
        <v>0</v>
      </c>
      <c r="M41" s="900"/>
      <c r="N41" s="127"/>
      <c r="O41" s="1"/>
    </row>
    <row r="42" spans="1:15" s="8" customFormat="1" ht="12.75" customHeight="1" x14ac:dyDescent="0.2">
      <c r="A42" s="21"/>
      <c r="B42" s="862" t="s">
        <v>83</v>
      </c>
      <c r="C42" s="863"/>
      <c r="D42" s="178">
        <f>IF(Ou_SecDefiniti="Sì",IF(ISERROR(MATCH(ZonaTerritoriale,ElencoZone,0))=TRUE,0,INDEX(MatriceParametri,MATCH(ZonaTerritoriale,ElencoZone,0)+1,19)),0)</f>
        <v>4.54</v>
      </c>
      <c r="E42" s="129"/>
      <c r="F42" s="165">
        <f>PRODUCT(D40,D42)</f>
        <v>0</v>
      </c>
      <c r="G42" s="22"/>
      <c r="H42" s="180">
        <f>IF(Ou_SecDefiniti="Sì",IF(ISERROR(MATCH(ZonaTerritoriale,ElencoZone,0))=TRUE,0,INDEX(MatriceParametri,MATCH(ZonaTerritoriale,ElencoZone,0)+1,20)),0)</f>
        <v>2.27</v>
      </c>
      <c r="I42" s="129"/>
      <c r="J42" s="165">
        <f>PRODUCT(H40,H42)</f>
        <v>0</v>
      </c>
      <c r="K42" s="145"/>
      <c r="L42" s="900">
        <f>ROUND(SUM(F42,J42),2)</f>
        <v>0</v>
      </c>
      <c r="M42" s="900"/>
      <c r="N42" s="127"/>
      <c r="O42" s="1"/>
    </row>
    <row r="43" spans="1:15" s="12" customFormat="1" ht="12.75" customHeight="1" x14ac:dyDescent="0.2">
      <c r="A43" s="21"/>
      <c r="B43" s="862" t="s">
        <v>84</v>
      </c>
      <c r="C43" s="863"/>
      <c r="D43" s="180">
        <f>IF(ISERROR(MATCH(ZonaTerritoriale,ElencoZone,0))=TRUE,0,INDEX(MatriceParametri,MATCH(ZonaTerritoriale,ElencoZone,0)+2,19))</f>
        <v>0</v>
      </c>
      <c r="E43" s="129"/>
      <c r="F43" s="165">
        <f>PRODUCT(D40,D43)</f>
        <v>0</v>
      </c>
      <c r="G43" s="22"/>
      <c r="H43" s="180">
        <f>IF(ISERROR(MATCH(ZonaTerritoriale,ElencoZone,0))=TRUE,0,INDEX(MatriceParametri,MATCH(ZonaTerritoriale,ElencoZone,0)+2,20))</f>
        <v>0</v>
      </c>
      <c r="I43" s="129"/>
      <c r="J43" s="165">
        <f>PRODUCT(H40,H43)</f>
        <v>0</v>
      </c>
      <c r="K43" s="145"/>
      <c r="L43" s="900">
        <f>ROUND(SUM(F43,J43),2)</f>
        <v>0</v>
      </c>
      <c r="M43" s="900"/>
      <c r="N43" s="127"/>
      <c r="O43" s="17"/>
    </row>
    <row r="44" spans="1:15" s="326" customFormat="1" ht="20.100000000000001" customHeight="1" x14ac:dyDescent="0.2">
      <c r="A44" s="318"/>
      <c r="B44" s="864" t="str">
        <f>Parametri_DestUsoPersonalizzazione10</f>
        <v>Attrezzature spettacolo</v>
      </c>
      <c r="C44" s="865"/>
      <c r="D44" s="890">
        <f>Ou_Cost_Personalizzazione2_NuovaEdif</f>
        <v>0</v>
      </c>
      <c r="E44" s="890"/>
      <c r="F44" s="890"/>
      <c r="G44" s="323"/>
      <c r="H44" s="890">
        <f>Ou_Rist_Personalizzazione2</f>
        <v>0</v>
      </c>
      <c r="I44" s="890"/>
      <c r="J44" s="890"/>
      <c r="K44" s="328"/>
      <c r="L44" s="323"/>
      <c r="M44" s="323"/>
      <c r="N44" s="324"/>
      <c r="O44" s="325"/>
    </row>
    <row r="45" spans="1:15" s="8" customFormat="1" ht="12.75" customHeight="1" x14ac:dyDescent="0.2">
      <c r="A45" s="21"/>
      <c r="B45" s="866" t="s">
        <v>82</v>
      </c>
      <c r="C45" s="867"/>
      <c r="D45" s="177">
        <f>IF(Ou_PrimariaDefiniti="Sì",IF(ISERROR(MATCH(ZonaTerritoriale,ElencoZone,0))=TRUE,0,INDEX(MatriceParametri,MATCH(ZonaTerritoriale,ElencoZone,0),21)),0)</f>
        <v>21.6</v>
      </c>
      <c r="E45" s="129"/>
      <c r="F45" s="165">
        <f>PRODUCT(D44,D45)</f>
        <v>0</v>
      </c>
      <c r="G45" s="167"/>
      <c r="H45" s="180">
        <f>IF(Ou_PrimariaDefiniti="Sì",IF(ISERROR(MATCH(ZonaTerritoriale,ElencoZone,0))=TRUE,0,INDEX(MatriceParametri,MATCH(ZonaTerritoriale,ElencoZone,0),22)),0)</f>
        <v>10.8</v>
      </c>
      <c r="I45" s="129"/>
      <c r="J45" s="165">
        <f>PRODUCT(H44,H45)</f>
        <v>0</v>
      </c>
      <c r="K45" s="331"/>
      <c r="L45" s="900">
        <f>ROUND(SUM(F45,J45),2)</f>
        <v>0</v>
      </c>
      <c r="M45" s="900"/>
      <c r="N45" s="127"/>
      <c r="O45" s="1"/>
    </row>
    <row r="46" spans="1:15" s="8" customFormat="1" ht="12.75" customHeight="1" x14ac:dyDescent="0.2">
      <c r="A46" s="21"/>
      <c r="B46" s="862" t="s">
        <v>83</v>
      </c>
      <c r="C46" s="863"/>
      <c r="D46" s="178">
        <f>IF(Ou_SecDefiniti="Sì",IF(ISERROR(MATCH(ZonaTerritoriale,ElencoZone,0))=TRUE,0,INDEX(MatriceParametri,MATCH(ZonaTerritoriale,ElencoZone,0)+1,21)),0)</f>
        <v>13.63</v>
      </c>
      <c r="E46" s="129"/>
      <c r="F46" s="165">
        <f>PRODUCT(D44,D46)</f>
        <v>0</v>
      </c>
      <c r="G46" s="22"/>
      <c r="H46" s="180">
        <f>IF(Ou_SecDefiniti="Sì",IF(ISERROR(MATCH(ZonaTerritoriale,ElencoZone,0))=TRUE,0,INDEX(MatriceParametri,MATCH(ZonaTerritoriale,ElencoZone,0)+1,22)),0)</f>
        <v>6.81</v>
      </c>
      <c r="I46" s="129"/>
      <c r="J46" s="165">
        <f>PRODUCT(H44,H46)</f>
        <v>0</v>
      </c>
      <c r="K46" s="145"/>
      <c r="L46" s="900">
        <f>ROUND(SUM(F46,J46),2)</f>
        <v>0</v>
      </c>
      <c r="M46" s="900"/>
      <c r="N46" s="127"/>
      <c r="O46" s="1"/>
    </row>
    <row r="47" spans="1:15" s="12" customFormat="1" ht="12.75" customHeight="1" x14ac:dyDescent="0.2">
      <c r="A47" s="21"/>
      <c r="B47" s="862" t="s">
        <v>84</v>
      </c>
      <c r="C47" s="863"/>
      <c r="D47" s="180">
        <f>IF(ISERROR(MATCH(ZonaTerritoriale,ElencoZone,0))=TRUE,0,INDEX(MatriceParametri,MATCH(ZonaTerritoriale,ElencoZone,0)+2,21))</f>
        <v>0</v>
      </c>
      <c r="E47" s="129"/>
      <c r="F47" s="165">
        <f>PRODUCT(D44,D47)</f>
        <v>0</v>
      </c>
      <c r="G47" s="22"/>
      <c r="H47" s="180">
        <f>IF(ISERROR(MATCH(ZonaTerritoriale,ElencoZone,0))=TRUE,0,INDEX(MatriceParametri,MATCH(ZonaTerritoriale,ElencoZone,0)+2,22))</f>
        <v>0</v>
      </c>
      <c r="I47" s="129"/>
      <c r="J47" s="165">
        <f>PRODUCT(H44,H47)</f>
        <v>0</v>
      </c>
      <c r="K47" s="145"/>
      <c r="L47" s="900">
        <f>ROUND(SUM(F47,J47),2)</f>
        <v>0</v>
      </c>
      <c r="M47" s="900"/>
      <c r="N47" s="127"/>
      <c r="O47" s="17"/>
    </row>
    <row r="48" spans="1:15" s="326" customFormat="1" ht="20.100000000000001" customHeight="1" x14ac:dyDescent="0.2">
      <c r="A48" s="318"/>
      <c r="B48" s="864" t="str">
        <f>Parametri_DestUsoPersonalizzazione11</f>
        <v>Campeggi (per utente)</v>
      </c>
      <c r="C48" s="865"/>
      <c r="D48" s="890">
        <f>Ou_Cost_Personalizzazione3_NuovaEdif</f>
        <v>0</v>
      </c>
      <c r="E48" s="890"/>
      <c r="F48" s="890"/>
      <c r="G48" s="323"/>
      <c r="H48" s="890">
        <f>Ou_Rist_Personalizzazione3</f>
        <v>0</v>
      </c>
      <c r="I48" s="890"/>
      <c r="J48" s="890"/>
      <c r="K48" s="328"/>
      <c r="L48" s="323"/>
      <c r="M48" s="323"/>
      <c r="N48" s="324"/>
      <c r="O48" s="325"/>
    </row>
    <row r="49" spans="1:15" s="8" customFormat="1" ht="12.75" customHeight="1" x14ac:dyDescent="0.2">
      <c r="A49" s="21"/>
      <c r="B49" s="866" t="s">
        <v>82</v>
      </c>
      <c r="C49" s="867"/>
      <c r="D49" s="177">
        <f>IF(Ou_PrimariaDefiniti="Sì",IF(ISERROR(MATCH(ZonaTerritoriale,ElencoZone,0))=TRUE,0,INDEX(MatriceParametri,MATCH(ZonaTerritoriale,ElencoZone,0),23)),0)</f>
        <v>236.18</v>
      </c>
      <c r="E49" s="129"/>
      <c r="F49" s="165">
        <f>PRODUCT(D48,D49)</f>
        <v>0</v>
      </c>
      <c r="G49" s="167"/>
      <c r="H49" s="180">
        <f>IF(Ou_PrimariaDefiniti="Sì",IF(ISERROR(MATCH(ZonaTerritoriale,ElencoZone,0))=TRUE,0,INDEX(MatriceParametri,MATCH(ZonaTerritoriale,ElencoZone,0),24)),0)</f>
        <v>0</v>
      </c>
      <c r="I49" s="129"/>
      <c r="J49" s="165">
        <f>PRODUCT(H48,H49)</f>
        <v>0</v>
      </c>
      <c r="K49" s="331"/>
      <c r="L49" s="900">
        <f>ROUND(SUM(F49,J49),2)</f>
        <v>0</v>
      </c>
      <c r="M49" s="900"/>
      <c r="N49" s="127"/>
      <c r="O49" s="1"/>
    </row>
    <row r="50" spans="1:15" s="8" customFormat="1" ht="12.75" customHeight="1" x14ac:dyDescent="0.2">
      <c r="A50" s="21"/>
      <c r="B50" s="862" t="s">
        <v>83</v>
      </c>
      <c r="C50" s="863"/>
      <c r="D50" s="178">
        <f>IF(Ou_SecDefiniti="Sì",IF(ISERROR(MATCH(ZonaTerritoriale,ElencoZone,0))=TRUE,0,INDEX(MatriceParametri,MATCH(ZonaTerritoriale,ElencoZone,0)+1,23)),0)</f>
        <v>197.13</v>
      </c>
      <c r="E50" s="129"/>
      <c r="F50" s="165">
        <f>PRODUCT(D48,D50)</f>
        <v>0</v>
      </c>
      <c r="G50" s="22"/>
      <c r="H50" s="180">
        <f>IF(Ou_SecDefiniti="Sì",IF(ISERROR(MATCH(ZonaTerritoriale,ElencoZone,0))=TRUE,0,INDEX(MatriceParametri,MATCH(ZonaTerritoriale,ElencoZone,0)+1,24)),0)</f>
        <v>0</v>
      </c>
      <c r="I50" s="129"/>
      <c r="J50" s="165">
        <f>PRODUCT(H48,H50)</f>
        <v>0</v>
      </c>
      <c r="K50" s="145"/>
      <c r="L50" s="900">
        <f>ROUND(SUM(F50,J50),2)</f>
        <v>0</v>
      </c>
      <c r="M50" s="900"/>
      <c r="N50" s="127"/>
      <c r="O50" s="1"/>
    </row>
    <row r="51" spans="1:15" s="12" customFormat="1" ht="12.75" customHeight="1" x14ac:dyDescent="0.2">
      <c r="A51" s="21"/>
      <c r="B51" s="862" t="s">
        <v>84</v>
      </c>
      <c r="C51" s="863"/>
      <c r="D51" s="180">
        <f>IF(ISERROR(MATCH(ZonaTerritoriale,ElencoZone,0))=TRUE,0,INDEX(MatriceParametri,MATCH(ZonaTerritoriale,ElencoZone,0)+2,23))</f>
        <v>0</v>
      </c>
      <c r="E51" s="129"/>
      <c r="F51" s="165">
        <f>PRODUCT(D48,D51)</f>
        <v>0</v>
      </c>
      <c r="G51" s="22"/>
      <c r="H51" s="180">
        <f>IF(ISERROR(MATCH(ZonaTerritoriale,ElencoZone,0))=TRUE,0,INDEX(MatriceParametri,MATCH(ZonaTerritoriale,ElencoZone,0)+2,24))</f>
        <v>0</v>
      </c>
      <c r="I51" s="129"/>
      <c r="J51" s="165">
        <f>PRODUCT(H48,H51)</f>
        <v>0</v>
      </c>
      <c r="K51" s="145"/>
      <c r="L51" s="900">
        <f>ROUND(SUM(F51,J51),2)</f>
        <v>0</v>
      </c>
      <c r="M51" s="900"/>
      <c r="N51" s="127"/>
      <c r="O51" s="17"/>
    </row>
    <row r="52" spans="1:15" s="326" customFormat="1" ht="20.100000000000001" hidden="1" customHeight="1" x14ac:dyDescent="0.2">
      <c r="A52" s="318"/>
      <c r="B52" s="864" t="str">
        <f>Parametri_DestUsoPersonalizzazione12</f>
        <v>Destinazione personalizzata 4</v>
      </c>
      <c r="C52" s="865"/>
      <c r="D52" s="890">
        <f>Ou_Cost_Personalizzazione4_NuovaEdif</f>
        <v>0</v>
      </c>
      <c r="E52" s="890"/>
      <c r="F52" s="890"/>
      <c r="G52" s="323"/>
      <c r="H52" s="890">
        <f>Ou_Rist_Personalizzazione3</f>
        <v>0</v>
      </c>
      <c r="I52" s="890"/>
      <c r="J52" s="890"/>
      <c r="K52" s="328"/>
      <c r="L52" s="323"/>
      <c r="M52" s="323"/>
      <c r="N52" s="324"/>
      <c r="O52" s="325"/>
    </row>
    <row r="53" spans="1:15" s="8" customFormat="1" ht="12.75" hidden="1" customHeight="1" x14ac:dyDescent="0.2">
      <c r="A53" s="21"/>
      <c r="B53" s="866" t="s">
        <v>82</v>
      </c>
      <c r="C53" s="867"/>
      <c r="D53" s="177">
        <f>IF(Ou_PrimariaDefiniti="Sì",IF(ISERROR(MATCH(ZonaTerritoriale,ElencoZone,0))=TRUE,0,INDEX(MatriceParametri,MATCH(ZonaTerritoriale,ElencoZone,0),25)),0)</f>
        <v>0</v>
      </c>
      <c r="E53" s="129"/>
      <c r="F53" s="165">
        <f>PRODUCT(D52,D53)</f>
        <v>0</v>
      </c>
      <c r="G53" s="167"/>
      <c r="H53" s="180">
        <f>IF(Ou_PrimariaDefiniti="Sì",IF(ISERROR(MATCH(ZonaTerritoriale,ElencoZone,0))=TRUE,0,INDEX(MatriceParametri,MATCH(ZonaTerritoriale,ElencoZone,0),26)),0)</f>
        <v>0</v>
      </c>
      <c r="I53" s="129"/>
      <c r="J53" s="165">
        <f>PRODUCT(H52,H53)</f>
        <v>0</v>
      </c>
      <c r="K53" s="331"/>
      <c r="L53" s="900">
        <f>ROUND(SUM(F53,J53),2)</f>
        <v>0</v>
      </c>
      <c r="M53" s="900"/>
      <c r="N53" s="127"/>
      <c r="O53" s="1"/>
    </row>
    <row r="54" spans="1:15" s="8" customFormat="1" ht="12.75" hidden="1" customHeight="1" x14ac:dyDescent="0.2">
      <c r="A54" s="21"/>
      <c r="B54" s="862" t="s">
        <v>83</v>
      </c>
      <c r="C54" s="863"/>
      <c r="D54" s="178">
        <f>IF(Ou_SecDefiniti="Sì",IF(ISERROR(MATCH(ZonaTerritoriale,ElencoZone,0))=TRUE,0,INDEX(MatriceParametri,MATCH(ZonaTerritoriale,ElencoZone,0)+1,25)),0)</f>
        <v>0</v>
      </c>
      <c r="E54" s="129"/>
      <c r="F54" s="165">
        <f>PRODUCT(D52,D54)</f>
        <v>0</v>
      </c>
      <c r="G54" s="22"/>
      <c r="H54" s="180">
        <f>IF(Ou_SecDefiniti="Sì",IF(ISERROR(MATCH(ZonaTerritoriale,ElencoZone,0))=TRUE,0,INDEX(MatriceParametri,MATCH(ZonaTerritoriale,ElencoZone,0)+1,26)),0)</f>
        <v>0</v>
      </c>
      <c r="I54" s="129"/>
      <c r="J54" s="165">
        <f>PRODUCT(H52,H54)</f>
        <v>0</v>
      </c>
      <c r="K54" s="145"/>
      <c r="L54" s="900">
        <f>ROUND(SUM(F54,J54),2)</f>
        <v>0</v>
      </c>
      <c r="M54" s="900"/>
      <c r="N54" s="127"/>
      <c r="O54" s="1"/>
    </row>
    <row r="55" spans="1:15" s="12" customFormat="1" ht="12.75" hidden="1" customHeight="1" x14ac:dyDescent="0.2">
      <c r="A55" s="21"/>
      <c r="B55" s="862" t="s">
        <v>84</v>
      </c>
      <c r="C55" s="863"/>
      <c r="D55" s="180">
        <f>IF(ISERROR(MATCH(ZonaTerritoriale,ElencoZone,0))=TRUE,0,INDEX(MatriceParametri,MATCH(ZonaTerritoriale,ElencoZone,0)+2,25))</f>
        <v>0</v>
      </c>
      <c r="E55" s="129"/>
      <c r="F55" s="165">
        <f>PRODUCT(D52,D55)</f>
        <v>0</v>
      </c>
      <c r="G55" s="22"/>
      <c r="H55" s="180">
        <f>IF(ISERROR(MATCH(ZonaTerritoriale,ElencoZone,0))=TRUE,0,INDEX(MatriceParametri,MATCH(ZonaTerritoriale,ElencoZone,0)+2,26))</f>
        <v>0</v>
      </c>
      <c r="I55" s="129"/>
      <c r="J55" s="165">
        <f>PRODUCT(H52,H55)</f>
        <v>0</v>
      </c>
      <c r="K55" s="145"/>
      <c r="L55" s="900">
        <f>ROUND(SUM(F55,J55),2)</f>
        <v>0</v>
      </c>
      <c r="M55" s="900"/>
      <c r="N55" s="127"/>
      <c r="O55" s="17"/>
    </row>
    <row r="56" spans="1:15" s="326" customFormat="1" ht="20.100000000000001" hidden="1" customHeight="1" x14ac:dyDescent="0.2">
      <c r="A56" s="318"/>
      <c r="B56" s="864" t="str">
        <f>Parametri_DestUsoPersonalizzazione13</f>
        <v>Destinazione personalizzata 5</v>
      </c>
      <c r="C56" s="865"/>
      <c r="D56" s="890">
        <f>Ou_Cost_Personalizzazione5_NuovaEdif</f>
        <v>0</v>
      </c>
      <c r="E56" s="890"/>
      <c r="F56" s="890"/>
      <c r="G56" s="323"/>
      <c r="H56" s="890">
        <f>Ou_Rist_Personalizzazione3</f>
        <v>0</v>
      </c>
      <c r="I56" s="890"/>
      <c r="J56" s="890"/>
      <c r="K56" s="328"/>
      <c r="L56" s="323"/>
      <c r="M56" s="323"/>
      <c r="N56" s="324"/>
      <c r="O56" s="325"/>
    </row>
    <row r="57" spans="1:15" s="8" customFormat="1" ht="12.75" hidden="1" customHeight="1" x14ac:dyDescent="0.2">
      <c r="A57" s="21"/>
      <c r="B57" s="866" t="s">
        <v>82</v>
      </c>
      <c r="C57" s="867"/>
      <c r="D57" s="177">
        <f>IF(Ou_PrimariaDefiniti="Sì",IF(ISERROR(MATCH(ZonaTerritoriale,ElencoZone,0))=TRUE,0,INDEX(MatriceParametri,MATCH(ZonaTerritoriale,ElencoZone,0),27)),0)</f>
        <v>0</v>
      </c>
      <c r="E57" s="129"/>
      <c r="F57" s="165">
        <f>PRODUCT(D56,D57)</f>
        <v>0</v>
      </c>
      <c r="G57" s="167"/>
      <c r="H57" s="180">
        <f>IF(Ou_PrimariaDefiniti="Sì",IF(ISERROR(MATCH(ZonaTerritoriale,ElencoZone,0))=TRUE,0,INDEX(MatriceParametri,MATCH(ZonaTerritoriale,ElencoZone,0),28)),0)</f>
        <v>0</v>
      </c>
      <c r="I57" s="129"/>
      <c r="J57" s="165">
        <f>PRODUCT(H56,H57)</f>
        <v>0</v>
      </c>
      <c r="K57" s="331"/>
      <c r="L57" s="900">
        <f>ROUND(SUM(F57,J57),2)</f>
        <v>0</v>
      </c>
      <c r="M57" s="900"/>
      <c r="N57" s="127"/>
      <c r="O57" s="1"/>
    </row>
    <row r="58" spans="1:15" s="8" customFormat="1" ht="12.75" hidden="1" customHeight="1" x14ac:dyDescent="0.2">
      <c r="A58" s="21"/>
      <c r="B58" s="862" t="s">
        <v>83</v>
      </c>
      <c r="C58" s="863"/>
      <c r="D58" s="178">
        <f>IF(Ou_SecDefiniti="Sì",IF(ISERROR(MATCH(ZonaTerritoriale,ElencoZone,0))=TRUE,0,INDEX(MatriceParametri,MATCH(ZonaTerritoriale,ElencoZone,0)+1,27)),0)</f>
        <v>0</v>
      </c>
      <c r="E58" s="129"/>
      <c r="F58" s="165">
        <f>PRODUCT(D56,D58)</f>
        <v>0</v>
      </c>
      <c r="G58" s="22"/>
      <c r="H58" s="180">
        <f>IF(Ou_SecDefiniti="Sì",IF(ISERROR(MATCH(ZonaTerritoriale,ElencoZone,0))=TRUE,0,INDEX(MatriceParametri,MATCH(ZonaTerritoriale,ElencoZone,0)+1,28)),0)</f>
        <v>0</v>
      </c>
      <c r="I58" s="129"/>
      <c r="J58" s="165">
        <f>PRODUCT(H56,H58)</f>
        <v>0</v>
      </c>
      <c r="K58" s="145"/>
      <c r="L58" s="900">
        <f>ROUND(SUM(F58,J58),2)</f>
        <v>0</v>
      </c>
      <c r="M58" s="900"/>
      <c r="N58" s="127"/>
      <c r="O58" s="1"/>
    </row>
    <row r="59" spans="1:15" s="12" customFormat="1" ht="12.75" hidden="1" customHeight="1" x14ac:dyDescent="0.2">
      <c r="A59" s="21"/>
      <c r="B59" s="862" t="s">
        <v>84</v>
      </c>
      <c r="C59" s="863"/>
      <c r="D59" s="180">
        <f>IF(ISERROR(MATCH(ZonaTerritoriale,ElencoZone,0))=TRUE,0,INDEX(MatriceParametri,MATCH(ZonaTerritoriale,ElencoZone,0)+2,27))</f>
        <v>0</v>
      </c>
      <c r="E59" s="129"/>
      <c r="F59" s="165">
        <f>PRODUCT(D56,D59)</f>
        <v>0</v>
      </c>
      <c r="G59" s="22"/>
      <c r="H59" s="180">
        <f>IF(ISERROR(MATCH(ZonaTerritoriale,ElencoZone,0))=TRUE,0,INDEX(MatriceParametri,MATCH(ZonaTerritoriale,ElencoZone,0)+2,28))</f>
        <v>0</v>
      </c>
      <c r="I59" s="129"/>
      <c r="J59" s="165">
        <f>PRODUCT(H56,H59)</f>
        <v>0</v>
      </c>
      <c r="K59" s="145"/>
      <c r="L59" s="900">
        <f>ROUND(SUM(F59,J59),2)</f>
        <v>0</v>
      </c>
      <c r="M59" s="900"/>
      <c r="N59" s="127"/>
      <c r="O59" s="17"/>
    </row>
    <row r="60" spans="1:15" s="12" customFormat="1" ht="12.75" customHeight="1" x14ac:dyDescent="0.2">
      <c r="A60" s="21"/>
      <c r="B60" s="724"/>
      <c r="C60" s="725"/>
      <c r="D60" s="725"/>
      <c r="E60" s="725"/>
      <c r="F60" s="725"/>
      <c r="G60" s="725"/>
      <c r="H60" s="725"/>
      <c r="I60" s="725"/>
      <c r="J60" s="725"/>
      <c r="K60" s="725"/>
      <c r="L60" s="725"/>
      <c r="M60" s="725"/>
      <c r="N60" s="127"/>
      <c r="O60" s="17"/>
    </row>
    <row r="61" spans="1:15" s="119" customFormat="1" x14ac:dyDescent="0.2">
      <c r="A61" s="21"/>
      <c r="B61" s="849" t="s">
        <v>190</v>
      </c>
      <c r="C61" s="850"/>
      <c r="D61" s="850"/>
      <c r="E61" s="850"/>
      <c r="F61" s="850"/>
      <c r="G61" s="132"/>
      <c r="H61" s="132"/>
      <c r="I61" s="22"/>
      <c r="J61" s="133"/>
      <c r="K61" s="133"/>
      <c r="L61" s="22"/>
      <c r="M61" s="132"/>
      <c r="N61" s="127"/>
      <c r="O61" s="2"/>
    </row>
    <row r="62" spans="1:15" s="12" customFormat="1" ht="12.75" customHeight="1" x14ac:dyDescent="0.2">
      <c r="A62" s="21"/>
      <c r="B62" s="836" t="s">
        <v>297</v>
      </c>
      <c r="C62" s="860"/>
      <c r="D62" s="860"/>
      <c r="E62" s="860"/>
      <c r="F62" s="860"/>
      <c r="G62" s="860"/>
      <c r="H62" s="860"/>
      <c r="I62" s="860"/>
      <c r="J62" s="860"/>
      <c r="K62" s="837"/>
      <c r="L62" s="900">
        <f>ROUND(SUM(L5,L9,L13,L17,L21,L25,L29,L33,L37,L41,L45,L49,L53,L57),2)</f>
        <v>0</v>
      </c>
      <c r="M62" s="900"/>
      <c r="N62" s="136"/>
      <c r="O62" s="17"/>
    </row>
    <row r="63" spans="1:15" s="12" customFormat="1" ht="12.75" customHeight="1" x14ac:dyDescent="0.2">
      <c r="A63" s="21"/>
      <c r="B63" s="836" t="s">
        <v>192</v>
      </c>
      <c r="C63" s="860"/>
      <c r="D63" s="860"/>
      <c r="E63" s="860"/>
      <c r="F63" s="860"/>
      <c r="G63" s="860"/>
      <c r="H63" s="860"/>
      <c r="I63" s="860"/>
      <c r="J63" s="860"/>
      <c r="K63" s="837"/>
      <c r="L63" s="279" t="str">
        <f>IF(CC_AltriCosti_ValoreMaggOnPrimRecSott&gt;0,IF(Parametri_MaggiorazioneSottotetti&gt;0, TEXT(IF(ZonaTerritoriale="A",Parametri_MaggiorazioneSottotetti,Parametri_MaggiorazioneSottotettiAZone),"0%")&amp;" a dedurre","Nessuna"),"")</f>
        <v/>
      </c>
      <c r="M63" s="79">
        <f>ImportoOneriUrbRecSottPrimaria*IF(ZonaTerritoriale="A",Parametri_MaggiorazioneSottotetti,Parametri_MaggiorazioneSottotettiAZone)</f>
        <v>0</v>
      </c>
      <c r="N63" s="136"/>
      <c r="O63" s="17"/>
    </row>
    <row r="64" spans="1:15" s="12" customFormat="1" ht="12.75" customHeight="1" x14ac:dyDescent="0.2">
      <c r="A64" s="21"/>
      <c r="B64" s="834" t="s">
        <v>194</v>
      </c>
      <c r="C64" s="861"/>
      <c r="D64" s="861"/>
      <c r="E64" s="861"/>
      <c r="F64" s="861"/>
      <c r="G64" s="861"/>
      <c r="H64" s="861"/>
      <c r="I64" s="861"/>
      <c r="J64" s="861"/>
      <c r="K64" s="835"/>
      <c r="L64" s="221"/>
      <c r="M64" s="79">
        <f>IF(InSanatoria="Si (onerosa)",ImportoOneriUrb1+CC_AltriCosti_ValoreMaggOnPrimRecSott,0)</f>
        <v>0</v>
      </c>
      <c r="N64" s="136"/>
      <c r="O64" s="17"/>
    </row>
    <row r="65" spans="1:15" s="12" customFormat="1" ht="12.75" customHeight="1" x14ac:dyDescent="0.2">
      <c r="A65" s="21"/>
      <c r="B65" s="834" t="s">
        <v>195</v>
      </c>
      <c r="C65" s="861"/>
      <c r="D65" s="861"/>
      <c r="E65" s="861"/>
      <c r="F65" s="861"/>
      <c r="G65" s="861"/>
      <c r="H65" s="861"/>
      <c r="I65" s="861"/>
      <c r="J65" s="861"/>
      <c r="K65" s="835"/>
      <c r="L65" s="279" t="str">
        <f>IF(OnPrim_RiduzionePianoCasa&gt;0,IF(Par_PianoCasa_Rid&gt;0, TEXT(Par_PianoCasa_Rid,"0%")&amp;" a dedurre","Nessuna"),"")</f>
        <v/>
      </c>
      <c r="M65" s="79">
        <f>IF(PianoCasa="Sì",((ImportoOneriUrb1+ImportoOneriUrb1_NuovaDest+CC_AltriCosti_ValoreMaggOnPrimRecSott)*Par_PianoCasa_RidCC),0)</f>
        <v>0</v>
      </c>
      <c r="N65" s="136"/>
      <c r="O65" s="17"/>
    </row>
    <row r="66" spans="1:15" s="12" customFormat="1" ht="12.75" customHeight="1" x14ac:dyDescent="0.2">
      <c r="A66" s="21"/>
      <c r="B66" s="834" t="s">
        <v>193</v>
      </c>
      <c r="C66" s="861"/>
      <c r="D66" s="861"/>
      <c r="E66" s="861"/>
      <c r="F66" s="861"/>
      <c r="G66" s="861"/>
      <c r="H66" s="861"/>
      <c r="I66" s="861"/>
      <c r="J66" s="861"/>
      <c r="K66" s="835"/>
      <c r="L66" s="664" t="s">
        <v>305</v>
      </c>
      <c r="M66" s="85">
        <f>Oneri_Urb_Prim_Corrisposti</f>
        <v>0</v>
      </c>
      <c r="N66" s="136"/>
      <c r="O66" s="17"/>
    </row>
    <row r="67" spans="1:15" s="12" customFormat="1" ht="12.75" customHeight="1" x14ac:dyDescent="0.2">
      <c r="A67" s="21"/>
      <c r="B67" s="845" t="s">
        <v>105</v>
      </c>
      <c r="C67" s="889"/>
      <c r="D67" s="889"/>
      <c r="E67" s="889"/>
      <c r="F67" s="889"/>
      <c r="G67" s="889"/>
      <c r="H67" s="889"/>
      <c r="I67" s="889"/>
      <c r="J67" s="889"/>
      <c r="K67" s="846"/>
      <c r="L67" s="917">
        <f>IF(ImportoOneriUrb1+CC_AltriCosti_ValoreMaggOnPrimRecSott+CC_SanzioneOneriUrbPrim-OnPrim_RiduzionePianoCasa-CC_Oneri_Urb_Prim_Corrisposti&gt;0,ImportoOneriUrb1+CC_AltriCosti_ValoreMaggOnPrimRecSott+CC_SanzioneOneriUrbPrim-OnPrim_RiduzionePianoCasa-CC_Oneri_Urb_Prim_Corrisposti,0)</f>
        <v>0</v>
      </c>
      <c r="M67" s="918"/>
      <c r="N67" s="136"/>
      <c r="O67" s="17"/>
    </row>
    <row r="68" spans="1:15" s="12" customFormat="1" ht="12.75" customHeight="1" x14ac:dyDescent="0.2">
      <c r="A68" s="21"/>
      <c r="B68" s="849" t="s">
        <v>201</v>
      </c>
      <c r="C68" s="850"/>
      <c r="D68" s="850"/>
      <c r="E68" s="850"/>
      <c r="F68" s="850"/>
      <c r="G68" s="578"/>
      <c r="H68" s="578"/>
      <c r="I68" s="578"/>
      <c r="J68" s="578"/>
      <c r="K68" s="578"/>
      <c r="L68" s="583"/>
      <c r="M68" s="582"/>
      <c r="N68" s="136"/>
      <c r="O68" s="17"/>
    </row>
    <row r="69" spans="1:15" s="12" customFormat="1" ht="12.75" customHeight="1" x14ac:dyDescent="0.2">
      <c r="A69" s="21"/>
      <c r="B69" s="836" t="s">
        <v>297</v>
      </c>
      <c r="C69" s="860"/>
      <c r="D69" s="860"/>
      <c r="E69" s="860"/>
      <c r="F69" s="860"/>
      <c r="G69" s="860"/>
      <c r="H69" s="860"/>
      <c r="I69" s="860"/>
      <c r="J69" s="860"/>
      <c r="K69" s="837"/>
      <c r="L69" s="900">
        <f>ROUND(SUM(L6,L10,L14,L18,L22,L26,L30,L34,L38,L42,L46,L50,L54,L58),2)</f>
        <v>0</v>
      </c>
      <c r="M69" s="900"/>
      <c r="N69" s="136"/>
      <c r="O69" s="17"/>
    </row>
    <row r="70" spans="1:15" s="12" customFormat="1" ht="12.75" customHeight="1" x14ac:dyDescent="0.2">
      <c r="A70" s="21"/>
      <c r="B70" s="834" t="s">
        <v>298</v>
      </c>
      <c r="C70" s="861"/>
      <c r="D70" s="861"/>
      <c r="E70" s="861"/>
      <c r="F70" s="861"/>
      <c r="G70" s="861"/>
      <c r="H70" s="861"/>
      <c r="I70" s="861"/>
      <c r="J70" s="861"/>
      <c r="K70" s="835"/>
      <c r="L70" s="279" t="str">
        <f>IF(CC_AltriCosti_ValoreMaggOnRecSott&gt;0,IF(Parametri_MaggiorazioneSottotetti&gt;0, TEXT(IF(ZonaTerritoriale="A",Parametri_MaggiorazioneSottotetti,Parametri_MaggiorazioneSottotettiAZone),"0%")&amp;" a dedurre","Nessuna"),"")</f>
        <v/>
      </c>
      <c r="M70" s="79">
        <f>ImportoOneriUrbRecSottSecondaria*IF(ZonaTerritoriale="A",Parametri_MaggiorazioneSottotetti,Parametri_MaggiorazioneSottotettiAZone)</f>
        <v>0</v>
      </c>
      <c r="N70" s="136"/>
      <c r="O70" s="17"/>
    </row>
    <row r="71" spans="1:15" s="12" customFormat="1" ht="12.75" customHeight="1" x14ac:dyDescent="0.2">
      <c r="A71" s="21"/>
      <c r="B71" s="834" t="s">
        <v>194</v>
      </c>
      <c r="C71" s="861"/>
      <c r="D71" s="861"/>
      <c r="E71" s="861"/>
      <c r="F71" s="861"/>
      <c r="G71" s="861"/>
      <c r="H71" s="861"/>
      <c r="I71" s="861"/>
      <c r="J71" s="861"/>
      <c r="K71" s="835"/>
      <c r="L71" s="221"/>
      <c r="M71" s="79">
        <f>IF(InSanatoria="Si (onerosa)",ImportoOneriUrb2+CC_AltriCosti_ValoreMaggOnRecSott,0)</f>
        <v>0</v>
      </c>
      <c r="N71" s="136"/>
      <c r="O71" s="17"/>
    </row>
    <row r="72" spans="1:15" s="12" customFormat="1" ht="12.75" customHeight="1" x14ac:dyDescent="0.2">
      <c r="A72" s="21"/>
      <c r="B72" s="834" t="s">
        <v>195</v>
      </c>
      <c r="C72" s="861"/>
      <c r="D72" s="861"/>
      <c r="E72" s="861"/>
      <c r="F72" s="861"/>
      <c r="G72" s="861"/>
      <c r="H72" s="861"/>
      <c r="I72" s="861"/>
      <c r="J72" s="861"/>
      <c r="K72" s="835"/>
      <c r="L72" s="279" t="str">
        <f>IF(OnSec_RiduzionePianoCasa&gt;0,IF(Par_PianoCasa_Rid&gt;0, TEXT(Par_PianoCasa_Rid,"0%")&amp;" a dedurre","Nessuna"),"")</f>
        <v/>
      </c>
      <c r="M72" s="79">
        <f>IF(PianoCasa="Sì",((ImportoOneriUrb2+ImportoOneriUrb2_NuovaDest+CC_AltriCosti_ValoreMaggOnRecSott)*Par_PianoCasa_RidCC),0)</f>
        <v>0</v>
      </c>
      <c r="N72" s="136"/>
      <c r="O72" s="17"/>
    </row>
    <row r="73" spans="1:15" s="12" customFormat="1" ht="12.75" customHeight="1" x14ac:dyDescent="0.2">
      <c r="A73" s="21"/>
      <c r="B73" s="834" t="s">
        <v>193</v>
      </c>
      <c r="C73" s="861"/>
      <c r="D73" s="861"/>
      <c r="E73" s="861"/>
      <c r="F73" s="861"/>
      <c r="G73" s="861"/>
      <c r="H73" s="861"/>
      <c r="I73" s="861"/>
      <c r="J73" s="861"/>
      <c r="K73" s="835"/>
      <c r="L73" s="279" t="s">
        <v>305</v>
      </c>
      <c r="M73" s="79">
        <f>Oneri_Urb_Sec_Corrisposti</f>
        <v>0</v>
      </c>
      <c r="N73" s="136"/>
      <c r="O73" s="17"/>
    </row>
    <row r="74" spans="1:15" s="12" customFormat="1" ht="12.75" customHeight="1" x14ac:dyDescent="0.2">
      <c r="A74" s="21"/>
      <c r="B74" s="845" t="s">
        <v>105</v>
      </c>
      <c r="C74" s="889"/>
      <c r="D74" s="889"/>
      <c r="E74" s="889"/>
      <c r="F74" s="889"/>
      <c r="G74" s="889"/>
      <c r="H74" s="889"/>
      <c r="I74" s="889"/>
      <c r="J74" s="889"/>
      <c r="K74" s="846"/>
      <c r="L74" s="917">
        <f>IF(ImportoOneriUrb2+CC_AltriCosti_ValoreMaggOnRecSott+CC_SanzioneOneriUrbSec-OnSec_RiduzionePianoCasa-CC_Oneri_Urb_Sec_Corrisposti&gt;0,ImportoOneriUrb2+CC_AltriCosti_ValoreMaggOnRecSott+CC_SanzioneOneriUrbSec-OnSec_RiduzionePianoCasa-CC_Oneri_Urb_Sec_Corrisposti,0)</f>
        <v>0</v>
      </c>
      <c r="M74" s="918"/>
      <c r="N74" s="136"/>
      <c r="O74" s="17"/>
    </row>
    <row r="75" spans="1:15" s="12" customFormat="1" ht="12.75" customHeight="1" x14ac:dyDescent="0.2">
      <c r="A75" s="21"/>
      <c r="B75" s="849" t="s">
        <v>85</v>
      </c>
      <c r="C75" s="850"/>
      <c r="D75" s="850"/>
      <c r="E75" s="850"/>
      <c r="F75" s="850"/>
      <c r="G75" s="850"/>
      <c r="H75" s="850"/>
      <c r="I75" s="850"/>
      <c r="J75" s="850"/>
      <c r="K75" s="850"/>
      <c r="L75" s="584"/>
      <c r="M75" s="584"/>
      <c r="N75" s="136"/>
      <c r="O75" s="17"/>
    </row>
    <row r="76" spans="1:15" s="12" customFormat="1" ht="12.75" customHeight="1" x14ac:dyDescent="0.2">
      <c r="A76" s="21"/>
      <c r="B76" s="836" t="s">
        <v>297</v>
      </c>
      <c r="C76" s="860"/>
      <c r="D76" s="860"/>
      <c r="E76" s="860"/>
      <c r="F76" s="860"/>
      <c r="G76" s="860"/>
      <c r="H76" s="860"/>
      <c r="I76" s="860"/>
      <c r="J76" s="860"/>
      <c r="K76" s="837"/>
      <c r="L76" s="221"/>
      <c r="M76" s="79">
        <f>ROUND(SUM(L7,L11,L15,L19,L23,L27,L31,L35,L39,L43,L47,L51,L55,L59),2)</f>
        <v>0</v>
      </c>
      <c r="N76" s="136"/>
      <c r="O76" s="17"/>
    </row>
    <row r="77" spans="1:15" s="12" customFormat="1" ht="12.75" customHeight="1" x14ac:dyDescent="0.2">
      <c r="A77" s="21"/>
      <c r="B77" s="834" t="s">
        <v>194</v>
      </c>
      <c r="C77" s="861"/>
      <c r="D77" s="861"/>
      <c r="E77" s="861"/>
      <c r="F77" s="861"/>
      <c r="G77" s="861"/>
      <c r="H77" s="861"/>
      <c r="I77" s="861"/>
      <c r="J77" s="861"/>
      <c r="K77" s="835"/>
      <c r="L77" s="221"/>
      <c r="M77" s="79">
        <f>IF(InSanatoria="Si (onerosa)",ImportoOneriSmaltimentoRif,0)</f>
        <v>0</v>
      </c>
      <c r="N77" s="136"/>
      <c r="O77" s="17"/>
    </row>
    <row r="78" spans="1:15" s="12" customFormat="1" ht="12.75" customHeight="1" x14ac:dyDescent="0.2">
      <c r="A78" s="21"/>
      <c r="B78" s="845" t="s">
        <v>105</v>
      </c>
      <c r="C78" s="889"/>
      <c r="D78" s="889"/>
      <c r="E78" s="889"/>
      <c r="F78" s="889"/>
      <c r="G78" s="889"/>
      <c r="H78" s="889"/>
      <c r="I78" s="889"/>
      <c r="J78" s="889"/>
      <c r="K78" s="846"/>
      <c r="L78" s="917">
        <f>ROUND(ImportoOneriSmaltimentoRif+CC_SanzioneSmaltimentoRifiuti,2)</f>
        <v>0</v>
      </c>
      <c r="M78" s="918"/>
      <c r="N78" s="136"/>
      <c r="O78" s="17"/>
    </row>
    <row r="79" spans="1:15" s="12" customFormat="1" ht="12.75" customHeight="1" x14ac:dyDescent="0.2">
      <c r="A79" s="21"/>
      <c r="B79" s="572"/>
      <c r="C79" s="578"/>
      <c r="D79" s="578"/>
      <c r="E79" s="578"/>
      <c r="F79" s="578"/>
      <c r="G79" s="578"/>
      <c r="H79" s="578"/>
      <c r="I79" s="578"/>
      <c r="J79" s="578"/>
      <c r="K79" s="578"/>
      <c r="L79" s="585"/>
      <c r="M79" s="585"/>
      <c r="N79" s="136"/>
      <c r="O79" s="17"/>
    </row>
    <row r="80" spans="1:15" s="12" customFormat="1" ht="15" customHeight="1" x14ac:dyDescent="0.2">
      <c r="A80" s="21"/>
      <c r="B80" s="891" t="s">
        <v>290</v>
      </c>
      <c r="C80" s="892"/>
      <c r="D80" s="892"/>
      <c r="E80" s="892"/>
      <c r="F80" s="892"/>
      <c r="G80" s="892"/>
      <c r="H80" s="892"/>
      <c r="I80" s="892"/>
      <c r="J80" s="892"/>
      <c r="K80" s="893"/>
      <c r="L80" s="924">
        <f>ROUND(Cc_OneriUrbPrimariaRif+Cc_OneriUrbSecondariaRif+Cc_OneriSmaltRifiutiRif,2)</f>
        <v>0</v>
      </c>
      <c r="M80" s="924"/>
      <c r="N80" s="136"/>
      <c r="O80" s="17"/>
    </row>
    <row r="81" spans="1:15" s="7" customFormat="1" ht="12.75" customHeight="1" x14ac:dyDescent="0.2">
      <c r="A81" s="21"/>
      <c r="B81" s="128"/>
      <c r="C81" s="23"/>
      <c r="D81" s="24"/>
      <c r="E81" s="25"/>
      <c r="F81" s="24"/>
      <c r="G81" s="22"/>
      <c r="H81" s="22"/>
      <c r="I81" s="22"/>
      <c r="J81" s="22"/>
      <c r="K81" s="22"/>
      <c r="L81" s="22"/>
      <c r="M81" s="190"/>
      <c r="N81" s="127"/>
      <c r="O81" s="2"/>
    </row>
    <row r="82" spans="1:15" s="10" customFormat="1" ht="15" customHeight="1" x14ac:dyDescent="0.25">
      <c r="A82" s="32"/>
      <c r="B82" s="913" t="s">
        <v>222</v>
      </c>
      <c r="C82" s="914"/>
      <c r="D82" s="914"/>
      <c r="E82" s="914"/>
      <c r="F82" s="914"/>
      <c r="G82" s="914"/>
      <c r="H82" s="914"/>
      <c r="I82" s="914"/>
      <c r="J82" s="914"/>
      <c r="K82" s="914"/>
      <c r="L82" s="914"/>
      <c r="M82" s="914"/>
      <c r="N82" s="915"/>
      <c r="O82" s="15"/>
    </row>
    <row r="83" spans="1:15" s="11" customFormat="1" ht="15" customHeight="1" x14ac:dyDescent="0.25">
      <c r="A83" s="28"/>
      <c r="B83" s="122"/>
      <c r="C83" s="123"/>
      <c r="D83" s="874" t="s">
        <v>160</v>
      </c>
      <c r="E83" s="874"/>
      <c r="F83" s="874"/>
      <c r="G83" s="16"/>
      <c r="H83" s="874" t="s">
        <v>161</v>
      </c>
      <c r="I83" s="874"/>
      <c r="J83" s="874"/>
      <c r="K83" s="124"/>
      <c r="L83" s="28"/>
      <c r="M83" s="125"/>
      <c r="N83" s="126"/>
      <c r="O83" s="16"/>
    </row>
    <row r="84" spans="1:15" s="326" customFormat="1" ht="20.100000000000001" customHeight="1" x14ac:dyDescent="0.2">
      <c r="A84" s="318"/>
      <c r="B84" s="885" t="str">
        <f>Parametri_DestUsoPersonalizzazione1 &amp; IF(EdiliziaConvenzionata="No",""," edilizia conv.")</f>
        <v>Residenziale</v>
      </c>
      <c r="C84" s="886"/>
      <c r="D84" s="887">
        <f>Ou_UsoIniziale_Res_ParVirt</f>
        <v>0</v>
      </c>
      <c r="E84" s="888"/>
      <c r="F84" s="888"/>
      <c r="G84" s="321"/>
      <c r="H84" s="887">
        <f>Ou_NuovaEd_Res_ParVirt</f>
        <v>0</v>
      </c>
      <c r="I84" s="887"/>
      <c r="J84" s="887"/>
      <c r="K84" s="322"/>
      <c r="L84" s="323"/>
      <c r="M84" s="323"/>
      <c r="N84" s="324"/>
      <c r="O84" s="325"/>
    </row>
    <row r="85" spans="1:15" s="12" customFormat="1" ht="12.75" customHeight="1" x14ac:dyDescent="0.2">
      <c r="A85" s="21"/>
      <c r="B85" s="866" t="s">
        <v>82</v>
      </c>
      <c r="C85" s="867"/>
      <c r="D85" s="177">
        <f>IF(Ou_PrimariaDefiniti="Sì",IF(ISERROR(MATCH(ZonaTerritoriale,ElencoZone,0))=TRUE,0,INDEX(MatriceParametri,MATCH(ZonaTerritoriale,ElencoZone,0),IF(DatiGen_ResidenzialeClasseA="No",1,3))),0)</f>
        <v>7.36</v>
      </c>
      <c r="E85" s="129"/>
      <c r="F85" s="165">
        <f>PRODUCT(D84,D85)</f>
        <v>0</v>
      </c>
      <c r="G85" s="167"/>
      <c r="H85" s="177">
        <f>IF(Ou_PrimariaDefiniti="Sì",IF(ISERROR(MATCH(ZonaTerritoriale,ElencoZone,0))=TRUE,0,INDEX(MatriceParametri,MATCH(ZonaTerritoriale,ElencoZone,0),IF(DatiGen_ResidenzialeClasseA="No",1,3))),0)</f>
        <v>7.36</v>
      </c>
      <c r="I85" s="129"/>
      <c r="J85" s="165">
        <f>PRODUCT(H84,H85)</f>
        <v>0</v>
      </c>
      <c r="K85" s="145"/>
      <c r="L85" s="22"/>
      <c r="M85" s="22"/>
      <c r="N85" s="127"/>
      <c r="O85" s="17"/>
    </row>
    <row r="86" spans="1:15" s="12" customFormat="1" ht="12.75" customHeight="1" x14ac:dyDescent="0.2">
      <c r="A86" s="21"/>
      <c r="B86" s="862" t="s">
        <v>83</v>
      </c>
      <c r="C86" s="863"/>
      <c r="D86" s="178">
        <f>IF(Ou_SecDefiniti="Sì",IF(ISERROR(MATCH(ZonaTerritoriale,ElencoZone,0))=TRUE,0,INDEX(MatriceParametri,MATCH(ZonaTerritoriale,ElencoZone,0)+1,IF(DatiGen_ResidenzialeClasseA="No",1,3))),0)</f>
        <v>17.489999999999998</v>
      </c>
      <c r="E86" s="129"/>
      <c r="F86" s="165">
        <f>PRODUCT(D84,D86)</f>
        <v>0</v>
      </c>
      <c r="G86" s="22"/>
      <c r="H86" s="178">
        <f>IF(Ou_SecDefiniti="Sì",IF(ISERROR(MATCH(ZonaTerritoriale,ElencoZone,0))=TRUE,0,INDEX(MatriceParametri,MATCH(ZonaTerritoriale,ElencoZone,0)+1,IF(DatiGen_ResidenzialeClasseA="No",1,3))),0)</f>
        <v>17.489999999999998</v>
      </c>
      <c r="I86" s="129"/>
      <c r="J86" s="165">
        <f>PRODUCT(H84,H86)</f>
        <v>0</v>
      </c>
      <c r="K86" s="145"/>
      <c r="L86" s="22"/>
      <c r="M86" s="22"/>
      <c r="N86" s="127"/>
      <c r="O86" s="17"/>
    </row>
    <row r="87" spans="1:15" s="12" customFormat="1" ht="12.75" customHeight="1" x14ac:dyDescent="0.2">
      <c r="A87" s="21"/>
      <c r="B87" s="862" t="s">
        <v>84</v>
      </c>
      <c r="C87" s="863"/>
      <c r="D87" s="179">
        <f>IF(ISERROR(MATCH(ZonaTerritoriale,ElencoZone,0))=TRUE,0,INDEX(MatriceParametri,MATCH(ZonaTerritoriale,ElencoZone,0)+2,IF(DatiGen_ResidenzialeClasseA="No",1,3)))</f>
        <v>0</v>
      </c>
      <c r="E87" s="129"/>
      <c r="F87" s="165">
        <f>PRODUCT(D84,D87)</f>
        <v>0</v>
      </c>
      <c r="G87" s="22"/>
      <c r="H87" s="179">
        <f>IF(ISERROR(MATCH(ZonaTerritoriale,ElencoZone,0))=TRUE,0,INDEX(MatriceParametri,MATCH(ZonaTerritoriale,ElencoZone,0)+2,IF(DatiGen_ResidenzialeClasseA="No",1,3)))</f>
        <v>0</v>
      </c>
      <c r="I87" s="129"/>
      <c r="J87" s="165">
        <f>PRODUCT(H84,H87)</f>
        <v>0</v>
      </c>
      <c r="K87" s="145"/>
      <c r="L87" s="22"/>
      <c r="M87" s="22"/>
      <c r="N87" s="127"/>
      <c r="O87" s="17"/>
    </row>
    <row r="88" spans="1:15" s="326" customFormat="1" ht="20.100000000000001" customHeight="1" x14ac:dyDescent="0.2">
      <c r="A88" s="318"/>
      <c r="B88" s="885" t="str">
        <f>Parametri_DestUsoPersonalizzazione2</f>
        <v>Artigianato e piccola industria</v>
      </c>
      <c r="C88" s="886"/>
      <c r="D88" s="890">
        <f>Ou_UsoIniziale_Com_ParVirt</f>
        <v>0</v>
      </c>
      <c r="E88" s="890"/>
      <c r="F88" s="890"/>
      <c r="G88" s="321"/>
      <c r="H88" s="890">
        <f>Ou_NuovaEd_Com_ParVirt</f>
        <v>0</v>
      </c>
      <c r="I88" s="890"/>
      <c r="J88" s="890"/>
      <c r="K88" s="328"/>
      <c r="L88" s="323"/>
      <c r="M88" s="323"/>
      <c r="N88" s="324"/>
      <c r="O88" s="325"/>
    </row>
    <row r="89" spans="1:15" s="12" customFormat="1" ht="12.75" customHeight="1" x14ac:dyDescent="0.2">
      <c r="A89" s="21"/>
      <c r="B89" s="866" t="s">
        <v>82</v>
      </c>
      <c r="C89" s="867"/>
      <c r="D89" s="180">
        <f>IF(Ou_PrimariaDefiniti="Sì",IF(ISERROR(MATCH(ZonaTerritoriale,ElencoZone,0))=TRUE,0,INDEX(MatriceParametri,MATCH(ZonaTerritoriale,ElencoZone,0),5)),0)</f>
        <v>17.41</v>
      </c>
      <c r="E89" s="129"/>
      <c r="F89" s="165">
        <f>PRODUCT(D88,D89)</f>
        <v>0</v>
      </c>
      <c r="G89" s="167"/>
      <c r="H89" s="180">
        <f>IF(Ou_PrimariaDefiniti="Sì",IF(ISERROR(MATCH(ZonaTerritoriale,ElencoZone,0))=TRUE,0,INDEX(MatriceParametri,MATCH(ZonaTerritoriale,ElencoZone,0),5)),0)</f>
        <v>17.41</v>
      </c>
      <c r="I89" s="129"/>
      <c r="J89" s="165">
        <f>PRODUCT(H88,H89)</f>
        <v>0</v>
      </c>
      <c r="K89" s="145"/>
      <c r="L89" s="22"/>
      <c r="M89" s="22"/>
      <c r="N89" s="127"/>
      <c r="O89" s="17"/>
    </row>
    <row r="90" spans="1:15" s="12" customFormat="1" ht="12.75" customHeight="1" x14ac:dyDescent="0.2">
      <c r="A90" s="21"/>
      <c r="B90" s="862" t="s">
        <v>83</v>
      </c>
      <c r="C90" s="863"/>
      <c r="D90" s="180">
        <f>IF(Ou_SecDefiniti="Sì",IF(ISERROR(MATCH(ZonaTerritoriale,ElencoZone,0))=TRUE,0,INDEX(MatriceParametri,MATCH(ZonaTerritoriale,ElencoZone,0)+1,5)),0)</f>
        <v>7.42</v>
      </c>
      <c r="E90" s="129"/>
      <c r="F90" s="165">
        <f>PRODUCT(D88,D90)</f>
        <v>0</v>
      </c>
      <c r="G90" s="22"/>
      <c r="H90" s="180">
        <f>IF(Ou_SecDefiniti="Sì",IF(ISERROR(MATCH(ZonaTerritoriale,ElencoZone,0))=TRUE,0,INDEX(MatriceParametri,MATCH(ZonaTerritoriale,ElencoZone,0)+1,5)),0)</f>
        <v>7.42</v>
      </c>
      <c r="I90" s="129"/>
      <c r="J90" s="165">
        <f>PRODUCT(H88,H90)</f>
        <v>0</v>
      </c>
      <c r="K90" s="145"/>
      <c r="L90" s="22"/>
      <c r="M90" s="22"/>
      <c r="N90" s="127"/>
      <c r="O90" s="17"/>
    </row>
    <row r="91" spans="1:15" s="12" customFormat="1" ht="12.75" customHeight="1" x14ac:dyDescent="0.2">
      <c r="A91" s="21"/>
      <c r="B91" s="862" t="s">
        <v>84</v>
      </c>
      <c r="C91" s="863"/>
      <c r="D91" s="180">
        <f>IF(ISERROR(MATCH(ZonaTerritoriale,ElencoZone,0))=TRUE,0,INDEX(MatriceParametri,MATCH(ZonaTerritoriale,ElencoZone,0)+2,5))</f>
        <v>3.57</v>
      </c>
      <c r="E91" s="129"/>
      <c r="F91" s="165">
        <f>PRODUCT(D88,D91)</f>
        <v>0</v>
      </c>
      <c r="G91" s="22"/>
      <c r="H91" s="180">
        <f>IF(ISERROR(MATCH(ZonaTerritoriale,ElencoZone,0))=TRUE,0,INDEX(MatriceParametri,MATCH(ZonaTerritoriale,ElencoZone,0)+2,5))</f>
        <v>3.57</v>
      </c>
      <c r="I91" s="129"/>
      <c r="J91" s="165">
        <f>PRODUCT(H88,H91)</f>
        <v>0</v>
      </c>
      <c r="K91" s="145"/>
      <c r="L91" s="22"/>
      <c r="M91" s="22"/>
      <c r="N91" s="127"/>
      <c r="O91" s="17"/>
    </row>
    <row r="92" spans="1:15" s="326" customFormat="1" ht="20.100000000000001" customHeight="1" x14ac:dyDescent="0.2">
      <c r="A92" s="318"/>
      <c r="B92" s="885" t="str">
        <f>Parametri_DestUsoPersonalizzazione3</f>
        <v>Industria</v>
      </c>
      <c r="C92" s="886"/>
      <c r="D92" s="890">
        <f>Ou_UsoIniziale_IndArt_ParVirt</f>
        <v>0</v>
      </c>
      <c r="E92" s="890"/>
      <c r="F92" s="890"/>
      <c r="G92" s="321"/>
      <c r="H92" s="890">
        <f>Ou_NuovaEd_IndArt_ParVirt</f>
        <v>0</v>
      </c>
      <c r="I92" s="890"/>
      <c r="J92" s="890"/>
      <c r="K92" s="328"/>
      <c r="L92" s="323"/>
      <c r="M92" s="323"/>
      <c r="N92" s="324"/>
      <c r="O92" s="325"/>
    </row>
    <row r="93" spans="1:15" s="12" customFormat="1" ht="12.75" customHeight="1" x14ac:dyDescent="0.2">
      <c r="A93" s="21"/>
      <c r="B93" s="866" t="s">
        <v>82</v>
      </c>
      <c r="C93" s="867"/>
      <c r="D93" s="180">
        <f>IF(Ou_PrimariaDefiniti="Sì",IF(ISERROR(MATCH(ZonaTerritoriale,ElencoZone,0))=TRUE,0,INDEX(MatriceParametri,MATCH(ZonaTerritoriale,ElencoZone,0),7)),0)</f>
        <v>18.75</v>
      </c>
      <c r="E93" s="129"/>
      <c r="F93" s="165">
        <f>PRODUCT(D92,D93)</f>
        <v>0</v>
      </c>
      <c r="G93" s="167"/>
      <c r="H93" s="180">
        <f>IF(Ou_PrimariaDefiniti="Sì",IF(ISERROR(MATCH(ZonaTerritoriale,ElencoZone,0))=TRUE,0,INDEX(MatriceParametri,MATCH(ZonaTerritoriale,ElencoZone,0),7)),0)</f>
        <v>18.75</v>
      </c>
      <c r="I93" s="129"/>
      <c r="J93" s="165">
        <f>PRODUCT(H92,H93)</f>
        <v>0</v>
      </c>
      <c r="K93" s="145"/>
      <c r="L93" s="22"/>
      <c r="M93" s="315"/>
      <c r="N93" s="127"/>
      <c r="O93" s="17"/>
    </row>
    <row r="94" spans="1:15" s="12" customFormat="1" ht="12.75" customHeight="1" x14ac:dyDescent="0.2">
      <c r="A94" s="21"/>
      <c r="B94" s="862" t="s">
        <v>83</v>
      </c>
      <c r="C94" s="863"/>
      <c r="D94" s="180">
        <f>IF(Ou_SecDefiniti="Sì",IF(ISERROR(MATCH(ZonaTerritoriale,ElencoZone,0))=TRUE,0,INDEX(MatriceParametri,MATCH(ZonaTerritoriale,ElencoZone,0)+1,7)),0)</f>
        <v>11.31</v>
      </c>
      <c r="E94" s="129"/>
      <c r="F94" s="165">
        <f>PRODUCT(D92,D94)</f>
        <v>0</v>
      </c>
      <c r="G94" s="22"/>
      <c r="H94" s="180">
        <f>IF(Ou_SecDefiniti="Sì",IF(ISERROR(MATCH(ZonaTerritoriale,ElencoZone,0))=TRUE,0,INDEX(MatriceParametri,MATCH(ZonaTerritoriale,ElencoZone,0)+1,7)),0)</f>
        <v>11.31</v>
      </c>
      <c r="I94" s="129"/>
      <c r="J94" s="165">
        <f>PRODUCT(H92,H94)</f>
        <v>0</v>
      </c>
      <c r="K94" s="145"/>
      <c r="L94" s="22"/>
      <c r="M94" s="22"/>
      <c r="N94" s="127"/>
      <c r="O94" s="17"/>
    </row>
    <row r="95" spans="1:15" s="12" customFormat="1" ht="12.75" customHeight="1" x14ac:dyDescent="0.2">
      <c r="A95" s="21"/>
      <c r="B95" s="862" t="s">
        <v>84</v>
      </c>
      <c r="C95" s="863"/>
      <c r="D95" s="180">
        <f>IF(ISERROR(MATCH(ZonaTerritoriale,ElencoZone,0))=TRUE,0,INDEX(MatriceParametri,MATCH(ZonaTerritoriale,ElencoZone,0)+2,7))</f>
        <v>3.84</v>
      </c>
      <c r="E95" s="129"/>
      <c r="F95" s="165">
        <f>PRODUCT(D92,D95)</f>
        <v>0</v>
      </c>
      <c r="G95" s="22"/>
      <c r="H95" s="180">
        <f>IF(ISERROR(MATCH(ZonaTerritoriale,ElencoZone,0))=TRUE,0,INDEX(MatriceParametri,MATCH(ZonaTerritoriale,ElencoZone,0)+2,7))</f>
        <v>3.84</v>
      </c>
      <c r="I95" s="129"/>
      <c r="J95" s="165">
        <f>PRODUCT(H92,H95)</f>
        <v>0</v>
      </c>
      <c r="K95" s="145"/>
      <c r="L95" s="22"/>
      <c r="M95" s="22"/>
      <c r="N95" s="127"/>
      <c r="O95" s="17"/>
    </row>
    <row r="96" spans="1:15" s="326" customFormat="1" ht="20.100000000000001" customHeight="1" x14ac:dyDescent="0.2">
      <c r="A96" s="318"/>
      <c r="B96" s="885" t="str">
        <f>Parametri_DestUsoPersonalizzazione4</f>
        <v>Industriale alberghiera (alberghi)</v>
      </c>
      <c r="C96" s="886"/>
      <c r="D96" s="890">
        <f>Ou_UsoIniziale_IndAlb_ParVirt</f>
        <v>0</v>
      </c>
      <c r="E96" s="890"/>
      <c r="F96" s="890"/>
      <c r="G96" s="321"/>
      <c r="H96" s="890">
        <f>Ou_NuovaEd_IndAlb_ParVirt</f>
        <v>0</v>
      </c>
      <c r="I96" s="890"/>
      <c r="J96" s="890"/>
      <c r="K96" s="328"/>
      <c r="L96" s="323"/>
      <c r="M96" s="323"/>
      <c r="N96" s="324"/>
      <c r="O96" s="325"/>
    </row>
    <row r="97" spans="1:15" s="12" customFormat="1" ht="12.75" customHeight="1" x14ac:dyDescent="0.2">
      <c r="A97" s="21"/>
      <c r="B97" s="866" t="s">
        <v>82</v>
      </c>
      <c r="C97" s="867"/>
      <c r="D97" s="180">
        <f>IF(Ou_PrimariaDefiniti="Sì",IF(ISERROR(MATCH(ZonaTerritoriale,ElencoZone,0))=TRUE,0,INDEX(MatriceParametri,MATCH(ZonaTerritoriale,ElencoZone,0),9)),0)</f>
        <v>27.55</v>
      </c>
      <c r="E97" s="129"/>
      <c r="F97" s="165">
        <f>PRODUCT(D96,D97)</f>
        <v>0</v>
      </c>
      <c r="G97" s="167"/>
      <c r="H97" s="180">
        <f>IF(Ou_PrimariaDefiniti="Sì",IF(ISERROR(MATCH(ZonaTerritoriale,ElencoZone,0))=TRUE,0,INDEX(MatriceParametri,MATCH(ZonaTerritoriale,ElencoZone,0),9)),0)</f>
        <v>27.55</v>
      </c>
      <c r="I97" s="129"/>
      <c r="J97" s="165">
        <f>PRODUCT(H96,H97)</f>
        <v>0</v>
      </c>
      <c r="K97" s="145"/>
      <c r="L97" s="22"/>
      <c r="M97" s="22"/>
      <c r="N97" s="127"/>
      <c r="O97" s="17"/>
    </row>
    <row r="98" spans="1:15" s="12" customFormat="1" ht="12.75" customHeight="1" x14ac:dyDescent="0.2">
      <c r="A98" s="21"/>
      <c r="B98" s="862" t="s">
        <v>83</v>
      </c>
      <c r="C98" s="863"/>
      <c r="D98" s="180">
        <f>IF(Ou_SecDefiniti="Sì",IF(ISERROR(MATCH(ZonaTerritoriale,ElencoZone,0))=TRUE,0,INDEX(MatriceParametri,MATCH(ZonaTerritoriale,ElencoZone,0)+1,9)),0)</f>
        <v>23.01</v>
      </c>
      <c r="E98" s="129"/>
      <c r="F98" s="165">
        <f>PRODUCT(D96,D98)</f>
        <v>0</v>
      </c>
      <c r="G98" s="22"/>
      <c r="H98" s="180">
        <f>IF(Ou_SecDefiniti="Sì",IF(ISERROR(MATCH(ZonaTerritoriale,ElencoZone,0))=TRUE,0,INDEX(MatriceParametri,MATCH(ZonaTerritoriale,ElencoZone,0)+1,9)),0)</f>
        <v>23.01</v>
      </c>
      <c r="I98" s="129"/>
      <c r="J98" s="165">
        <f>PRODUCT(H96,H98)</f>
        <v>0</v>
      </c>
      <c r="K98" s="145"/>
      <c r="L98" s="22"/>
      <c r="M98" s="143"/>
      <c r="N98" s="127"/>
      <c r="O98" s="17"/>
    </row>
    <row r="99" spans="1:15" s="12" customFormat="1" ht="12.75" customHeight="1" x14ac:dyDescent="0.2">
      <c r="A99" s="21"/>
      <c r="B99" s="862" t="s">
        <v>84</v>
      </c>
      <c r="C99" s="863"/>
      <c r="D99" s="180">
        <f>IF(ISERROR(MATCH(ZonaTerritoriale,ElencoZone,0))=TRUE,0,INDEX(MatriceParametri,MATCH(ZonaTerritoriale,ElencoZone,0)+2,9))</f>
        <v>0</v>
      </c>
      <c r="E99" s="129"/>
      <c r="F99" s="165">
        <f>PRODUCT(D96,D99)</f>
        <v>0</v>
      </c>
      <c r="G99" s="22"/>
      <c r="H99" s="180">
        <f>IF(ISERROR(MATCH(ZonaTerritoriale,ElencoZone,0))=TRUE,0,INDEX(MatriceParametri,MATCH(ZonaTerritoriale,ElencoZone,0)+2,9))</f>
        <v>0</v>
      </c>
      <c r="I99" s="129"/>
      <c r="J99" s="165">
        <f>PRODUCT(H96,H99)</f>
        <v>0</v>
      </c>
      <c r="K99" s="145"/>
      <c r="L99" s="22"/>
      <c r="M99" s="22"/>
      <c r="N99" s="127"/>
      <c r="O99" s="17"/>
    </row>
    <row r="100" spans="1:15" s="326" customFormat="1" ht="20.100000000000001" customHeight="1" x14ac:dyDescent="0.2">
      <c r="A100" s="318"/>
      <c r="B100" s="864" t="str">
        <f>Parametri_DestUsoPersonalizzazione5</f>
        <v>Industriale alberghiera (altre tipologie)</v>
      </c>
      <c r="C100" s="865"/>
      <c r="D100" s="890">
        <f>Ou_UsoIniziale_ParSil_ParVirt</f>
        <v>0</v>
      </c>
      <c r="E100" s="890"/>
      <c r="F100" s="890"/>
      <c r="G100" s="323"/>
      <c r="H100" s="890">
        <f>Ou_NuovaEd_ParSil_ParVirt</f>
        <v>0</v>
      </c>
      <c r="I100" s="890"/>
      <c r="J100" s="890"/>
      <c r="K100" s="328"/>
      <c r="L100" s="323"/>
      <c r="M100" s="323"/>
      <c r="N100" s="324"/>
      <c r="O100" s="325"/>
    </row>
    <row r="101" spans="1:15" s="8" customFormat="1" ht="12.75" customHeight="1" x14ac:dyDescent="0.2">
      <c r="A101" s="21"/>
      <c r="B101" s="866" t="s">
        <v>82</v>
      </c>
      <c r="C101" s="867"/>
      <c r="D101" s="177">
        <f>IF(Ou_PrimariaDefiniti="Sì",IF(ISERROR(MATCH(ZonaTerritoriale,ElencoZone,0))=TRUE,0,INDEX(MatriceParametri,MATCH(ZonaTerritoriale,ElencoZone,0),11)),0)</f>
        <v>27.55</v>
      </c>
      <c r="E101" s="129"/>
      <c r="F101" s="165">
        <f>PRODUCT(D100,D101)</f>
        <v>0</v>
      </c>
      <c r="G101" s="167"/>
      <c r="H101" s="177">
        <f>IF(Ou_PrimariaDefiniti="Sì",IF(ISERROR(MATCH(ZonaTerritoriale,ElencoZone,0))=TRUE,0,INDEX(MatriceParametri,MATCH(ZonaTerritoriale,ElencoZone,0),11)),0)</f>
        <v>27.55</v>
      </c>
      <c r="I101" s="129"/>
      <c r="J101" s="165">
        <f>PRODUCT(H100,H101)</f>
        <v>0</v>
      </c>
      <c r="K101" s="145"/>
      <c r="L101" s="22"/>
      <c r="M101" s="143"/>
      <c r="N101" s="127"/>
      <c r="O101" s="1"/>
    </row>
    <row r="102" spans="1:15" s="8" customFormat="1" ht="12.75" customHeight="1" x14ac:dyDescent="0.2">
      <c r="A102" s="21"/>
      <c r="B102" s="862" t="s">
        <v>83</v>
      </c>
      <c r="C102" s="863"/>
      <c r="D102" s="178">
        <f>IF(Ou_SecDefiniti="Sì",IF(ISERROR(MATCH(ZonaTerritoriale,ElencoZone,0))=TRUE,0,INDEX(MatriceParametri,MATCH(ZonaTerritoriale,ElencoZone,0)+1,11)),0)</f>
        <v>25.71</v>
      </c>
      <c r="E102" s="129"/>
      <c r="F102" s="165">
        <f>PRODUCT(D100,D102)</f>
        <v>0</v>
      </c>
      <c r="G102" s="22"/>
      <c r="H102" s="178">
        <f>IF(Ou_SecDefiniti="Sì",IF(ISERROR(MATCH(ZonaTerritoriale,ElencoZone,0))=TRUE,0,INDEX(MatriceParametri,MATCH(ZonaTerritoriale,ElencoZone,0)+1,11)),0)</f>
        <v>25.71</v>
      </c>
      <c r="I102" s="129"/>
      <c r="J102" s="165">
        <f>PRODUCT(H100,H102)</f>
        <v>0</v>
      </c>
      <c r="K102" s="145"/>
      <c r="L102" s="22"/>
      <c r="M102" s="143"/>
      <c r="N102" s="127"/>
      <c r="O102" s="1"/>
    </row>
    <row r="103" spans="1:15" s="12" customFormat="1" ht="12.75" customHeight="1" x14ac:dyDescent="0.2">
      <c r="A103" s="21"/>
      <c r="B103" s="862" t="s">
        <v>84</v>
      </c>
      <c r="C103" s="863"/>
      <c r="D103" s="180">
        <f>IF(ISERROR(MATCH(ZonaTerritoriale,ElencoZone,0))=TRUE,0,INDEX(MatriceParametri,MATCH(ZonaTerritoriale,ElencoZone,0)+2,11))</f>
        <v>0</v>
      </c>
      <c r="E103" s="129"/>
      <c r="F103" s="165">
        <f>PRODUCT(D100,D103)</f>
        <v>0</v>
      </c>
      <c r="G103" s="22"/>
      <c r="H103" s="180">
        <f>IF(ISERROR(MATCH(ZonaTerritoriale,ElencoZone,0))=TRUE,0,INDEX(MatriceParametri,MATCH(ZonaTerritoriale,ElencoZone,0)+2,11))</f>
        <v>0</v>
      </c>
      <c r="I103" s="129"/>
      <c r="J103" s="165">
        <f>PRODUCT(H100,H103)</f>
        <v>0</v>
      </c>
      <c r="K103" s="145"/>
      <c r="L103" s="22"/>
      <c r="M103" s="22"/>
      <c r="N103" s="127"/>
      <c r="O103" s="17"/>
    </row>
    <row r="104" spans="1:15" s="326" customFormat="1" ht="20.100000000000001" customHeight="1" x14ac:dyDescent="0.2">
      <c r="A104" s="318"/>
      <c r="B104" s="864" t="str">
        <f>Parametri_DestUsoPersonalizzazione6</f>
        <v>Attività direzionali e commerciali</v>
      </c>
      <c r="C104" s="865"/>
      <c r="D104" s="890">
        <f>Ou_UsoIniziale_CultSan_ParVirt</f>
        <v>0</v>
      </c>
      <c r="E104" s="890"/>
      <c r="F104" s="890"/>
      <c r="G104" s="323"/>
      <c r="H104" s="890">
        <f>Ou_NuovaEd_CultSan_ParVirt</f>
        <v>0</v>
      </c>
      <c r="I104" s="890"/>
      <c r="J104" s="890"/>
      <c r="K104" s="328"/>
      <c r="L104" s="323"/>
      <c r="M104" s="323"/>
      <c r="N104" s="324"/>
      <c r="O104" s="325"/>
    </row>
    <row r="105" spans="1:15" s="8" customFormat="1" ht="12.75" customHeight="1" x14ac:dyDescent="0.2">
      <c r="A105" s="21"/>
      <c r="B105" s="866" t="s">
        <v>82</v>
      </c>
      <c r="C105" s="867"/>
      <c r="D105" s="177">
        <f>IF(Ou_PrimariaDefiniti="Sì",IF(ISERROR(MATCH(ZonaTerritoriale,ElencoZone,0))=TRUE,0,INDEX(MatriceParametri,MATCH(ZonaTerritoriale,ElencoZone,0),13)),0)</f>
        <v>71.98</v>
      </c>
      <c r="E105" s="129"/>
      <c r="F105" s="165">
        <f>PRODUCT(D104,D105)</f>
        <v>0</v>
      </c>
      <c r="G105" s="167"/>
      <c r="H105" s="177">
        <f>IF(Ou_PrimariaDefiniti="Sì",IF(ISERROR(MATCH(ZonaTerritoriale,ElencoZone,0))=TRUE,0,INDEX(MatriceParametri,MATCH(ZonaTerritoriale,ElencoZone,0),13)),0)</f>
        <v>71.98</v>
      </c>
      <c r="I105" s="129"/>
      <c r="J105" s="165">
        <f>PRODUCT(H104,H105)</f>
        <v>0</v>
      </c>
      <c r="K105" s="145"/>
      <c r="L105" s="22"/>
      <c r="M105" s="143"/>
      <c r="N105" s="127"/>
      <c r="O105" s="1"/>
    </row>
    <row r="106" spans="1:15" s="8" customFormat="1" ht="12.75" customHeight="1" x14ac:dyDescent="0.2">
      <c r="A106" s="21"/>
      <c r="B106" s="862" t="s">
        <v>83</v>
      </c>
      <c r="C106" s="863"/>
      <c r="D106" s="178">
        <f>IF(Ou_SecDefiniti="Sì",IF(ISERROR(MATCH(ZonaTerritoriale,ElencoZone,0))=TRUE,0,INDEX(MatriceParametri,MATCH(ZonaTerritoriale,ElencoZone,0)+1,13)),0)</f>
        <v>45.4</v>
      </c>
      <c r="E106" s="129"/>
      <c r="F106" s="165">
        <f>PRODUCT(D104,D106)</f>
        <v>0</v>
      </c>
      <c r="G106" s="22"/>
      <c r="H106" s="178">
        <f>IF(Ou_SecDefiniti="Sì",IF(ISERROR(MATCH(ZonaTerritoriale,ElencoZone,0))=TRUE,0,INDEX(MatriceParametri,MATCH(ZonaTerritoriale,ElencoZone,0)+1,13)),0)</f>
        <v>45.4</v>
      </c>
      <c r="I106" s="129"/>
      <c r="J106" s="165">
        <f>PRODUCT(H104,H106)</f>
        <v>0</v>
      </c>
      <c r="K106" s="145"/>
      <c r="L106" s="22"/>
      <c r="M106" s="143"/>
      <c r="N106" s="127"/>
      <c r="O106" s="1"/>
    </row>
    <row r="107" spans="1:15" s="12" customFormat="1" ht="12.75" customHeight="1" x14ac:dyDescent="0.2">
      <c r="A107" s="21"/>
      <c r="B107" s="862" t="s">
        <v>84</v>
      </c>
      <c r="C107" s="863"/>
      <c r="D107" s="180">
        <f>IF(ISERROR(MATCH(ZonaTerritoriale,ElencoZone,0))=TRUE,0,INDEX(MatriceParametri,MATCH(ZonaTerritoriale,ElencoZone,0)+2,13))</f>
        <v>0</v>
      </c>
      <c r="E107" s="129"/>
      <c r="F107" s="165">
        <f>PRODUCT(D104,D107)</f>
        <v>0</v>
      </c>
      <c r="G107" s="22"/>
      <c r="H107" s="180">
        <f>IF(ISERROR(MATCH(ZonaTerritoriale,ElencoZone,0))=TRUE,0,INDEX(MatriceParametri,MATCH(ZonaTerritoriale,ElencoZone,0)+2,13))</f>
        <v>0</v>
      </c>
      <c r="I107" s="129"/>
      <c r="J107" s="165">
        <f>PRODUCT(H104,H107)</f>
        <v>0</v>
      </c>
      <c r="K107" s="145"/>
      <c r="L107" s="22"/>
      <c r="M107" s="22"/>
      <c r="N107" s="127"/>
      <c r="O107" s="17"/>
    </row>
    <row r="108" spans="1:15" s="326" customFormat="1" ht="20.100000000000001" customHeight="1" x14ac:dyDescent="0.2">
      <c r="A108" s="318"/>
      <c r="B108" s="864" t="str">
        <f>Parametri_DestUsoPersonalizzazione7</f>
        <v>Parcheggi coperti e solos autoveicoli (per posto macchina)</v>
      </c>
      <c r="C108" s="865"/>
      <c r="D108" s="890">
        <f>Ou_UsoIniziale_AttSpor_ParVirt</f>
        <v>0</v>
      </c>
      <c r="E108" s="890"/>
      <c r="F108" s="890"/>
      <c r="G108" s="323"/>
      <c r="H108" s="890">
        <f>Ou_NuovaEd_AttSpor_ParVirt</f>
        <v>0</v>
      </c>
      <c r="I108" s="890"/>
      <c r="J108" s="890"/>
      <c r="K108" s="328"/>
      <c r="L108" s="323"/>
      <c r="M108" s="323"/>
      <c r="N108" s="324"/>
      <c r="O108" s="325"/>
    </row>
    <row r="109" spans="1:15" s="8" customFormat="1" ht="12.75" customHeight="1" x14ac:dyDescent="0.2">
      <c r="A109" s="21"/>
      <c r="B109" s="866" t="s">
        <v>82</v>
      </c>
      <c r="C109" s="867"/>
      <c r="D109" s="177">
        <f>IF(Ou_PrimariaDefiniti="Sì",IF(ISERROR(MATCH(ZonaTerritoriale,ElencoZone,0))=TRUE,0,INDEX(MatriceParametri,MATCH(ZonaTerritoriale,ElencoZone,0),15)),0)</f>
        <v>14.4</v>
      </c>
      <c r="E109" s="129"/>
      <c r="F109" s="165">
        <f>PRODUCT(D108,D109)</f>
        <v>0</v>
      </c>
      <c r="G109" s="167"/>
      <c r="H109" s="177">
        <f>IF(Ou_PrimariaDefiniti="Sì",IF(ISERROR(MATCH(ZonaTerritoriale,ElencoZone,0))=TRUE,0,INDEX(MatriceParametri,MATCH(ZonaTerritoriale,ElencoZone,0),15)),0)</f>
        <v>14.4</v>
      </c>
      <c r="I109" s="129"/>
      <c r="J109" s="165">
        <f>PRODUCT(H108,H109)</f>
        <v>0</v>
      </c>
      <c r="K109" s="145"/>
      <c r="L109" s="22"/>
      <c r="M109" s="143"/>
      <c r="N109" s="127"/>
      <c r="O109" s="1"/>
    </row>
    <row r="110" spans="1:15" s="8" customFormat="1" ht="12.75" customHeight="1" x14ac:dyDescent="0.2">
      <c r="A110" s="21"/>
      <c r="B110" s="862" t="s">
        <v>83</v>
      </c>
      <c r="C110" s="863"/>
      <c r="D110" s="178">
        <f>IF(Ou_SecDefiniti="Sì",IF(ISERROR(MATCH(ZonaTerritoriale,ElencoZone,0))=TRUE,0,INDEX(MatriceParametri,MATCH(ZonaTerritoriale,ElencoZone,0)+1,15)),0)</f>
        <v>7.2</v>
      </c>
      <c r="E110" s="129"/>
      <c r="F110" s="165">
        <f>PRODUCT(D108,D110)</f>
        <v>0</v>
      </c>
      <c r="G110" s="22"/>
      <c r="H110" s="178">
        <f>IF(Ou_SecDefiniti="Sì",IF(ISERROR(MATCH(ZonaTerritoriale,ElencoZone,0))=TRUE,0,INDEX(MatriceParametri,MATCH(ZonaTerritoriale,ElencoZone,0)+1,15)),0)</f>
        <v>7.2</v>
      </c>
      <c r="I110" s="129"/>
      <c r="J110" s="165">
        <f>PRODUCT(H108,H110)</f>
        <v>0</v>
      </c>
      <c r="K110" s="145"/>
      <c r="L110" s="22"/>
      <c r="M110" s="143"/>
      <c r="N110" s="127"/>
      <c r="O110" s="1"/>
    </row>
    <row r="111" spans="1:15" s="12" customFormat="1" ht="12.75" customHeight="1" x14ac:dyDescent="0.2">
      <c r="A111" s="21"/>
      <c r="B111" s="862" t="s">
        <v>84</v>
      </c>
      <c r="C111" s="863"/>
      <c r="D111" s="180">
        <f>IF(ISERROR(MATCH(ZonaTerritoriale,ElencoZone,0))=TRUE,0,INDEX(MatriceParametri,MATCH(ZonaTerritoriale,ElencoZone,0)+2,15))</f>
        <v>0</v>
      </c>
      <c r="E111" s="129"/>
      <c r="F111" s="165">
        <f>PRODUCT(D108,D111)</f>
        <v>0</v>
      </c>
      <c r="G111" s="22"/>
      <c r="H111" s="180">
        <f>IF(ISERROR(MATCH(ZonaTerritoriale,ElencoZone,0))=TRUE,0,INDEX(MatriceParametri,MATCH(ZonaTerritoriale,ElencoZone,0)+2,15))</f>
        <v>0</v>
      </c>
      <c r="I111" s="129"/>
      <c r="J111" s="165">
        <f>PRODUCT(H108,H111)</f>
        <v>0</v>
      </c>
      <c r="K111" s="145"/>
      <c r="L111" s="22"/>
      <c r="M111" s="22"/>
      <c r="N111" s="127"/>
      <c r="O111" s="17"/>
    </row>
    <row r="112" spans="1:15" s="326" customFormat="1" ht="20.100000000000001" customHeight="1" x14ac:dyDescent="0.2">
      <c r="A112" s="318"/>
      <c r="B112" s="864" t="str">
        <f>Parametri_DestUsoPersonalizzazione8</f>
        <v>Attrezzature culturali sanitarie e assistenziali</v>
      </c>
      <c r="C112" s="865"/>
      <c r="D112" s="890">
        <f>Ou_UsoIniziale_AttSpet_ParVirt</f>
        <v>0</v>
      </c>
      <c r="E112" s="890"/>
      <c r="F112" s="890"/>
      <c r="G112" s="323"/>
      <c r="H112" s="890">
        <f>Ou_NuovaEd_AttSpet_ParVirt</f>
        <v>0</v>
      </c>
      <c r="I112" s="890"/>
      <c r="J112" s="890"/>
      <c r="K112" s="328"/>
      <c r="L112" s="323"/>
      <c r="M112" s="323"/>
      <c r="N112" s="324"/>
      <c r="O112" s="325"/>
    </row>
    <row r="113" spans="1:15" s="8" customFormat="1" ht="12.75" customHeight="1" x14ac:dyDescent="0.2">
      <c r="A113" s="21"/>
      <c r="B113" s="866" t="s">
        <v>82</v>
      </c>
      <c r="C113" s="867"/>
      <c r="D113" s="177">
        <f>IF(Ou_PrimariaDefiniti="Sì",IF(ISERROR(MATCH(ZonaTerritoriale,ElencoZone,0))=TRUE,0,INDEX(MatriceParametri,MATCH(ZonaTerritoriale,ElencoZone,0),17)),0)</f>
        <v>14.4</v>
      </c>
      <c r="E113" s="129"/>
      <c r="F113" s="165">
        <f>PRODUCT(D112,D113)</f>
        <v>0</v>
      </c>
      <c r="G113" s="167"/>
      <c r="H113" s="177">
        <f>IF(Ou_PrimariaDefiniti="Sì",IF(ISERROR(MATCH(ZonaTerritoriale,ElencoZone,0))=TRUE,0,INDEX(MatriceParametri,MATCH(ZonaTerritoriale,ElencoZone,0),17)),0)</f>
        <v>14.4</v>
      </c>
      <c r="I113" s="129"/>
      <c r="J113" s="165">
        <f>PRODUCT(H112,H113)</f>
        <v>0</v>
      </c>
      <c r="K113" s="145"/>
      <c r="L113" s="22"/>
      <c r="M113" s="143"/>
      <c r="N113" s="127"/>
      <c r="O113" s="1"/>
    </row>
    <row r="114" spans="1:15" s="8" customFormat="1" ht="12.75" customHeight="1" x14ac:dyDescent="0.2">
      <c r="A114" s="21"/>
      <c r="B114" s="862" t="s">
        <v>83</v>
      </c>
      <c r="C114" s="863"/>
      <c r="D114" s="178">
        <f>IF(Ou_SecDefiniti="Sì",IF(ISERROR(MATCH(ZonaTerritoriale,ElencoZone,0))=TRUE,0,INDEX(MatriceParametri,MATCH(ZonaTerritoriale,ElencoZone,0)+1,17)),0)</f>
        <v>9.08</v>
      </c>
      <c r="E114" s="129"/>
      <c r="F114" s="165">
        <f>PRODUCT(D112,D114)</f>
        <v>0</v>
      </c>
      <c r="G114" s="22"/>
      <c r="H114" s="178">
        <f>IF(Ou_SecDefiniti="Sì",IF(ISERROR(MATCH(ZonaTerritoriale,ElencoZone,0))=TRUE,0,INDEX(MatriceParametri,MATCH(ZonaTerritoriale,ElencoZone,0)+1,17)),0)</f>
        <v>9.08</v>
      </c>
      <c r="I114" s="129"/>
      <c r="J114" s="165">
        <f>PRODUCT(H112,H114)</f>
        <v>0</v>
      </c>
      <c r="K114" s="145"/>
      <c r="L114" s="22"/>
      <c r="M114" s="143"/>
      <c r="N114" s="127"/>
      <c r="O114" s="1"/>
    </row>
    <row r="115" spans="1:15" s="12" customFormat="1" ht="12.75" customHeight="1" x14ac:dyDescent="0.2">
      <c r="A115" s="21"/>
      <c r="B115" s="862" t="s">
        <v>84</v>
      </c>
      <c r="C115" s="863"/>
      <c r="D115" s="180">
        <f>IF(ISERROR(MATCH(ZonaTerritoriale,ElencoZone,0))=TRUE,0,INDEX(MatriceParametri,MATCH(ZonaTerritoriale,ElencoZone,0)+2,17))</f>
        <v>0</v>
      </c>
      <c r="E115" s="129"/>
      <c r="F115" s="165">
        <f>PRODUCT(D112,D115)</f>
        <v>0</v>
      </c>
      <c r="G115" s="22"/>
      <c r="H115" s="180">
        <f>IF(ISERROR(MATCH(ZonaTerritoriale,ElencoZone,0))=TRUE,0,INDEX(MatriceParametri,MATCH(ZonaTerritoriale,ElencoZone,0)+2,17))</f>
        <v>0</v>
      </c>
      <c r="I115" s="129"/>
      <c r="J115" s="165">
        <f>PRODUCT(H112,H115)</f>
        <v>0</v>
      </c>
      <c r="K115" s="145"/>
      <c r="L115" s="22"/>
      <c r="M115" s="22"/>
      <c r="N115" s="127"/>
      <c r="O115" s="17"/>
    </row>
    <row r="116" spans="1:15" s="326" customFormat="1" ht="20.100000000000001" customHeight="1" x14ac:dyDescent="0.2">
      <c r="A116" s="318"/>
      <c r="B116" s="864" t="str">
        <f>Parametri_DestUsoPersonalizzazione9</f>
        <v>Attrezzature sportive</v>
      </c>
      <c r="C116" s="865"/>
      <c r="D116" s="890">
        <f>Ou_UsoIniziale_Person1_ParVirt</f>
        <v>0</v>
      </c>
      <c r="E116" s="890"/>
      <c r="F116" s="890"/>
      <c r="G116" s="323"/>
      <c r="H116" s="890">
        <f>Ou_NuovaEd_Person1_ParVirt</f>
        <v>0</v>
      </c>
      <c r="I116" s="890"/>
      <c r="J116" s="890"/>
      <c r="K116" s="328"/>
      <c r="L116" s="323"/>
      <c r="M116" s="323"/>
      <c r="N116" s="324"/>
      <c r="O116" s="325"/>
    </row>
    <row r="117" spans="1:15" s="8" customFormat="1" ht="12.75" customHeight="1" x14ac:dyDescent="0.2">
      <c r="A117" s="21"/>
      <c r="B117" s="866" t="s">
        <v>82</v>
      </c>
      <c r="C117" s="867"/>
      <c r="D117" s="177">
        <f>IF(Ou_PrimariaDefiniti="Sì",IF(ISERROR(MATCH(ZonaTerritoriale,ElencoZone,0))=TRUE,0,INDEX(MatriceParametri,MATCH(ZonaTerritoriale,ElencoZone,0),19)),0)</f>
        <v>7.2</v>
      </c>
      <c r="E117" s="129"/>
      <c r="F117" s="165">
        <f>PRODUCT(D116,D117)</f>
        <v>0</v>
      </c>
      <c r="G117" s="167"/>
      <c r="H117" s="177">
        <f>IF(Ou_PrimariaDefiniti="Sì",IF(ISERROR(MATCH(ZonaTerritoriale,ElencoZone,0))=TRUE,0,INDEX(MatriceParametri,MATCH(ZonaTerritoriale,ElencoZone,0),19)),0)</f>
        <v>7.2</v>
      </c>
      <c r="I117" s="129"/>
      <c r="J117" s="165">
        <f>PRODUCT(H116,H117)</f>
        <v>0</v>
      </c>
      <c r="K117" s="145"/>
      <c r="L117" s="22"/>
      <c r="M117" s="143"/>
      <c r="N117" s="127"/>
      <c r="O117" s="1"/>
    </row>
    <row r="118" spans="1:15" s="8" customFormat="1" ht="12.75" customHeight="1" x14ac:dyDescent="0.2">
      <c r="A118" s="21"/>
      <c r="B118" s="862" t="s">
        <v>83</v>
      </c>
      <c r="C118" s="863"/>
      <c r="D118" s="178">
        <f>IF(Ou_SecDefiniti="Sì",IF(ISERROR(MATCH(ZonaTerritoriale,ElencoZone,0))=TRUE,0,INDEX(MatriceParametri,MATCH(ZonaTerritoriale,ElencoZone,0)+1,19)),0)</f>
        <v>4.54</v>
      </c>
      <c r="E118" s="129"/>
      <c r="F118" s="165">
        <f>PRODUCT(D116,D118)</f>
        <v>0</v>
      </c>
      <c r="G118" s="22"/>
      <c r="H118" s="178">
        <f>IF(Ou_SecDefiniti="Sì",IF(ISERROR(MATCH(ZonaTerritoriale,ElencoZone,0))=TRUE,0,INDEX(MatriceParametri,MATCH(ZonaTerritoriale,ElencoZone,0)+1,19)),0)</f>
        <v>4.54</v>
      </c>
      <c r="I118" s="129"/>
      <c r="J118" s="165">
        <f>PRODUCT(H116,H118)</f>
        <v>0</v>
      </c>
      <c r="K118" s="145"/>
      <c r="L118" s="22"/>
      <c r="M118" s="143"/>
      <c r="N118" s="127"/>
      <c r="O118" s="1"/>
    </row>
    <row r="119" spans="1:15" s="12" customFormat="1" ht="12.75" customHeight="1" x14ac:dyDescent="0.2">
      <c r="A119" s="21"/>
      <c r="B119" s="862" t="s">
        <v>84</v>
      </c>
      <c r="C119" s="863"/>
      <c r="D119" s="180">
        <f>IF(ISERROR(MATCH(ZonaTerritoriale,ElencoZone,0))=TRUE,0,INDEX(MatriceParametri,MATCH(ZonaTerritoriale,ElencoZone,0)+2,19))</f>
        <v>0</v>
      </c>
      <c r="E119" s="129"/>
      <c r="F119" s="165">
        <f>PRODUCT(D116,D119)</f>
        <v>0</v>
      </c>
      <c r="G119" s="22"/>
      <c r="H119" s="180">
        <f>IF(ISERROR(MATCH(ZonaTerritoriale,ElencoZone,0))=TRUE,0,INDEX(MatriceParametri,MATCH(ZonaTerritoriale,ElencoZone,0)+2,19))</f>
        <v>0</v>
      </c>
      <c r="I119" s="129"/>
      <c r="J119" s="165">
        <f>PRODUCT(H116,H119)</f>
        <v>0</v>
      </c>
      <c r="K119" s="145"/>
      <c r="L119" s="22"/>
      <c r="M119" s="22"/>
      <c r="N119" s="127"/>
      <c r="O119" s="17"/>
    </row>
    <row r="120" spans="1:15" s="326" customFormat="1" ht="20.100000000000001" customHeight="1" x14ac:dyDescent="0.2">
      <c r="A120" s="318"/>
      <c r="B120" s="864" t="str">
        <f>Parametri_DestUsoPersonalizzazione10</f>
        <v>Attrezzature spettacolo</v>
      </c>
      <c r="C120" s="865"/>
      <c r="D120" s="890">
        <f>Ou_UsoIniziale_Person2_ParVirt</f>
        <v>0</v>
      </c>
      <c r="E120" s="890"/>
      <c r="F120" s="890"/>
      <c r="G120" s="323"/>
      <c r="H120" s="890">
        <f>Ou_NuovaEd_Person2_ParVirt</f>
        <v>0</v>
      </c>
      <c r="I120" s="890"/>
      <c r="J120" s="890"/>
      <c r="K120" s="328"/>
      <c r="L120" s="323"/>
      <c r="M120" s="323"/>
      <c r="N120" s="324"/>
      <c r="O120" s="325"/>
    </row>
    <row r="121" spans="1:15" s="8" customFormat="1" ht="12.75" customHeight="1" x14ac:dyDescent="0.2">
      <c r="A121" s="21"/>
      <c r="B121" s="866" t="s">
        <v>82</v>
      </c>
      <c r="C121" s="867"/>
      <c r="D121" s="177">
        <f>IF(Ou_PrimariaDefiniti="Sì",IF(ISERROR(MATCH(ZonaTerritoriale,ElencoZone,0))=TRUE,0,INDEX(MatriceParametri,MATCH(ZonaTerritoriale,ElencoZone,0),21)),0)</f>
        <v>21.6</v>
      </c>
      <c r="E121" s="129"/>
      <c r="F121" s="165">
        <f>PRODUCT(D120,D121)</f>
        <v>0</v>
      </c>
      <c r="G121" s="167"/>
      <c r="H121" s="177">
        <f>IF(Ou_PrimariaDefiniti="Sì",IF(ISERROR(MATCH(ZonaTerritoriale,ElencoZone,0))=TRUE,0,INDEX(MatriceParametri,MATCH(ZonaTerritoriale,ElencoZone,0),21)),0)</f>
        <v>21.6</v>
      </c>
      <c r="I121" s="129"/>
      <c r="J121" s="165">
        <f>PRODUCT(H120,H121)</f>
        <v>0</v>
      </c>
      <c r="K121" s="145"/>
      <c r="L121" s="22"/>
      <c r="M121" s="143"/>
      <c r="N121" s="127"/>
      <c r="O121" s="1"/>
    </row>
    <row r="122" spans="1:15" s="8" customFormat="1" ht="12.75" customHeight="1" x14ac:dyDescent="0.2">
      <c r="A122" s="21"/>
      <c r="B122" s="862" t="s">
        <v>83</v>
      </c>
      <c r="C122" s="863"/>
      <c r="D122" s="178">
        <f>IF(Ou_SecDefiniti="Sì",IF(ISERROR(MATCH(ZonaTerritoriale,ElencoZone,0))=TRUE,0,INDEX(MatriceParametri,MATCH(ZonaTerritoriale,ElencoZone,0)+1,21)),0)</f>
        <v>13.63</v>
      </c>
      <c r="E122" s="129"/>
      <c r="F122" s="165">
        <f>PRODUCT(D120,D122)</f>
        <v>0</v>
      </c>
      <c r="G122" s="22"/>
      <c r="H122" s="178">
        <f>IF(Ou_SecDefiniti="Sì",IF(ISERROR(MATCH(ZonaTerritoriale,ElencoZone,0))=TRUE,0,INDEX(MatriceParametri,MATCH(ZonaTerritoriale,ElencoZone,0)+1,21)),0)</f>
        <v>13.63</v>
      </c>
      <c r="I122" s="129"/>
      <c r="J122" s="165">
        <f>PRODUCT(H120,H122)</f>
        <v>0</v>
      </c>
      <c r="K122" s="145"/>
      <c r="L122" s="22"/>
      <c r="M122" s="143"/>
      <c r="N122" s="127"/>
      <c r="O122" s="1"/>
    </row>
    <row r="123" spans="1:15" s="12" customFormat="1" ht="12.75" customHeight="1" x14ac:dyDescent="0.2">
      <c r="A123" s="21"/>
      <c r="B123" s="862" t="s">
        <v>84</v>
      </c>
      <c r="C123" s="863"/>
      <c r="D123" s="180">
        <f>IF(ISERROR(MATCH(ZonaTerritoriale,ElencoZone,0))=TRUE,0,INDEX(MatriceParametri,MATCH(ZonaTerritoriale,ElencoZone,0)+2,21))</f>
        <v>0</v>
      </c>
      <c r="E123" s="129"/>
      <c r="F123" s="165">
        <f>PRODUCT(D120,D123)</f>
        <v>0</v>
      </c>
      <c r="G123" s="22"/>
      <c r="H123" s="180">
        <f>IF(ISERROR(MATCH(ZonaTerritoriale,ElencoZone,0))=TRUE,0,INDEX(MatriceParametri,MATCH(ZonaTerritoriale,ElencoZone,0)+2,21))</f>
        <v>0</v>
      </c>
      <c r="I123" s="129"/>
      <c r="J123" s="165">
        <f>PRODUCT(H120,H123)</f>
        <v>0</v>
      </c>
      <c r="K123" s="145"/>
      <c r="L123" s="22"/>
      <c r="M123" s="22"/>
      <c r="N123" s="127"/>
      <c r="O123" s="17"/>
    </row>
    <row r="124" spans="1:15" s="326" customFormat="1" ht="20.100000000000001" customHeight="1" x14ac:dyDescent="0.2">
      <c r="A124" s="318"/>
      <c r="B124" s="864" t="str">
        <f>Parametri_DestUsoPersonalizzazione11</f>
        <v>Campeggi (per utente)</v>
      </c>
      <c r="C124" s="865"/>
      <c r="D124" s="890">
        <f>Ou_UsoIniziale_Person3_ParVirt</f>
        <v>0</v>
      </c>
      <c r="E124" s="890"/>
      <c r="F124" s="890"/>
      <c r="G124" s="323"/>
      <c r="H124" s="890">
        <f>Ou_NuovaEd_Person3_ParVirt</f>
        <v>0</v>
      </c>
      <c r="I124" s="890"/>
      <c r="J124" s="890"/>
      <c r="K124" s="328"/>
      <c r="L124" s="323"/>
      <c r="M124" s="323"/>
      <c r="N124" s="324"/>
      <c r="O124" s="325"/>
    </row>
    <row r="125" spans="1:15" s="8" customFormat="1" ht="12.75" customHeight="1" x14ac:dyDescent="0.2">
      <c r="A125" s="21"/>
      <c r="B125" s="866" t="s">
        <v>82</v>
      </c>
      <c r="C125" s="867"/>
      <c r="D125" s="177">
        <f>IF(Ou_PrimariaDefiniti="Sì",IF(ISERROR(MATCH(ZonaTerritoriale,ElencoZone,0))=TRUE,0,INDEX(MatriceParametri,MATCH(ZonaTerritoriale,ElencoZone,0),23)),0)</f>
        <v>236.18</v>
      </c>
      <c r="E125" s="129"/>
      <c r="F125" s="165">
        <f>PRODUCT(D124,D125)</f>
        <v>0</v>
      </c>
      <c r="G125" s="167"/>
      <c r="H125" s="177">
        <f>IF(Ou_PrimariaDefiniti="Sì",IF(ISERROR(MATCH(ZonaTerritoriale,ElencoZone,0))=TRUE,0,INDEX(MatriceParametri,MATCH(ZonaTerritoriale,ElencoZone,0),23)),0)</f>
        <v>236.18</v>
      </c>
      <c r="I125" s="129"/>
      <c r="J125" s="165">
        <f>PRODUCT(H124,H125)</f>
        <v>0</v>
      </c>
      <c r="K125" s="145"/>
      <c r="L125" s="22"/>
      <c r="M125" s="143"/>
      <c r="N125" s="127"/>
      <c r="O125" s="1"/>
    </row>
    <row r="126" spans="1:15" s="8" customFormat="1" ht="12.75" customHeight="1" x14ac:dyDescent="0.2">
      <c r="A126" s="21"/>
      <c r="B126" s="862" t="s">
        <v>83</v>
      </c>
      <c r="C126" s="863"/>
      <c r="D126" s="178">
        <f>IF(Ou_SecDefiniti="Sì",IF(ISERROR(MATCH(ZonaTerritoriale,ElencoZone,0))=TRUE,0,INDEX(MatriceParametri,MATCH(ZonaTerritoriale,ElencoZone,0)+1,23)),0)</f>
        <v>197.13</v>
      </c>
      <c r="E126" s="129"/>
      <c r="F126" s="165">
        <f>PRODUCT(D124,D126)</f>
        <v>0</v>
      </c>
      <c r="G126" s="22"/>
      <c r="H126" s="178">
        <f>IF(Ou_SecDefiniti="Sì",IF(ISERROR(MATCH(ZonaTerritoriale,ElencoZone,0))=TRUE,0,INDEX(MatriceParametri,MATCH(ZonaTerritoriale,ElencoZone,0)+1,23)),0)</f>
        <v>197.13</v>
      </c>
      <c r="I126" s="129"/>
      <c r="J126" s="165">
        <f>PRODUCT(H124,H126)</f>
        <v>0</v>
      </c>
      <c r="K126" s="145"/>
      <c r="L126" s="22"/>
      <c r="M126" s="143"/>
      <c r="N126" s="127"/>
      <c r="O126" s="1"/>
    </row>
    <row r="127" spans="1:15" s="12" customFormat="1" ht="12.75" customHeight="1" x14ac:dyDescent="0.2">
      <c r="A127" s="21"/>
      <c r="B127" s="862" t="s">
        <v>84</v>
      </c>
      <c r="C127" s="863"/>
      <c r="D127" s="180">
        <f>IF(ISERROR(MATCH(ZonaTerritoriale,ElencoZone,0))=TRUE,0,INDEX(MatriceParametri,MATCH(ZonaTerritoriale,ElencoZone,0)+2,23))</f>
        <v>0</v>
      </c>
      <c r="E127" s="129"/>
      <c r="F127" s="165">
        <f>PRODUCT(D124,D127)</f>
        <v>0</v>
      </c>
      <c r="G127" s="22"/>
      <c r="H127" s="180">
        <f>IF(ISERROR(MATCH(ZonaTerritoriale,ElencoZone,0))=TRUE,0,INDEX(MatriceParametri,MATCH(ZonaTerritoriale,ElencoZone,0)+2,23))</f>
        <v>0</v>
      </c>
      <c r="I127" s="129"/>
      <c r="J127" s="165">
        <f>PRODUCT(H124,H127)</f>
        <v>0</v>
      </c>
      <c r="K127" s="145"/>
      <c r="L127" s="22"/>
      <c r="M127" s="22"/>
      <c r="N127" s="127"/>
      <c r="O127" s="17"/>
    </row>
    <row r="128" spans="1:15" s="326" customFormat="1" ht="20.100000000000001" hidden="1" customHeight="1" x14ac:dyDescent="0.2">
      <c r="A128" s="318"/>
      <c r="B128" s="864" t="str">
        <f>Parametri_DestUsoPersonalizzazione12</f>
        <v>Destinazione personalizzata 4</v>
      </c>
      <c r="C128" s="865"/>
      <c r="D128" s="890">
        <f>Ou_UsoIniziale_Person4_ParVirt</f>
        <v>0</v>
      </c>
      <c r="E128" s="890"/>
      <c r="F128" s="890"/>
      <c r="G128" s="323"/>
      <c r="H128" s="890">
        <f>Ou_NuovaEd_Person4_ParVirt</f>
        <v>0</v>
      </c>
      <c r="I128" s="890"/>
      <c r="J128" s="890"/>
      <c r="K128" s="328"/>
      <c r="L128" s="323"/>
      <c r="M128" s="323"/>
      <c r="N128" s="324"/>
      <c r="O128" s="325"/>
    </row>
    <row r="129" spans="1:15" s="8" customFormat="1" ht="12.75" hidden="1" customHeight="1" x14ac:dyDescent="0.2">
      <c r="A129" s="21"/>
      <c r="B129" s="866" t="s">
        <v>82</v>
      </c>
      <c r="C129" s="867"/>
      <c r="D129" s="177">
        <f>IF(Ou_PrimariaDefiniti="Sì",IF(ISERROR(MATCH(ZonaTerritoriale,ElencoZone,0))=TRUE,0,INDEX(MatriceParametri,MATCH(ZonaTerritoriale,ElencoZone,0),25)),0)</f>
        <v>0</v>
      </c>
      <c r="E129" s="129"/>
      <c r="F129" s="165">
        <f>PRODUCT(D128,D129)</f>
        <v>0</v>
      </c>
      <c r="G129" s="167"/>
      <c r="H129" s="177">
        <f>IF(Ou_PrimariaDefiniti="Sì",IF(ISERROR(MATCH(ZonaTerritoriale,ElencoZone,0))=TRUE,0,INDEX(MatriceParametri,MATCH(ZonaTerritoriale,ElencoZone,0),25)),0)</f>
        <v>0</v>
      </c>
      <c r="I129" s="129"/>
      <c r="J129" s="165">
        <f>PRODUCT(H128,H129)</f>
        <v>0</v>
      </c>
      <c r="K129" s="145"/>
      <c r="L129" s="22"/>
      <c r="M129" s="143"/>
      <c r="N129" s="127"/>
      <c r="O129" s="1"/>
    </row>
    <row r="130" spans="1:15" s="8" customFormat="1" ht="12.75" hidden="1" customHeight="1" x14ac:dyDescent="0.2">
      <c r="A130" s="21"/>
      <c r="B130" s="862" t="s">
        <v>83</v>
      </c>
      <c r="C130" s="863"/>
      <c r="D130" s="178">
        <f>IF(Ou_SecDefiniti="Sì",IF(ISERROR(MATCH(ZonaTerritoriale,ElencoZone,0))=TRUE,0,INDEX(MatriceParametri,MATCH(ZonaTerritoriale,ElencoZone,0)+1,25)),0)</f>
        <v>0</v>
      </c>
      <c r="E130" s="129"/>
      <c r="F130" s="165">
        <f>PRODUCT(D128,D130)</f>
        <v>0</v>
      </c>
      <c r="G130" s="22"/>
      <c r="H130" s="178">
        <f>IF(Ou_SecDefiniti="Sì",IF(ISERROR(MATCH(ZonaTerritoriale,ElencoZone,0))=TRUE,0,INDEX(MatriceParametri,MATCH(ZonaTerritoriale,ElencoZone,0)+1,25)),0)</f>
        <v>0</v>
      </c>
      <c r="I130" s="129"/>
      <c r="J130" s="165">
        <f>PRODUCT(H128,H130)</f>
        <v>0</v>
      </c>
      <c r="K130" s="145"/>
      <c r="L130" s="22"/>
      <c r="M130" s="143"/>
      <c r="N130" s="127"/>
      <c r="O130" s="1"/>
    </row>
    <row r="131" spans="1:15" s="12" customFormat="1" ht="12.75" hidden="1" customHeight="1" x14ac:dyDescent="0.2">
      <c r="A131" s="21"/>
      <c r="B131" s="862" t="s">
        <v>84</v>
      </c>
      <c r="C131" s="863"/>
      <c r="D131" s="180">
        <f>IF(ISERROR(MATCH(ZonaTerritoriale,ElencoZone,0))=TRUE,0,INDEX(MatriceParametri,MATCH(ZonaTerritoriale,ElencoZone,0)+2,25))</f>
        <v>0</v>
      </c>
      <c r="E131" s="129"/>
      <c r="F131" s="165">
        <f>PRODUCT(D128,D131)</f>
        <v>0</v>
      </c>
      <c r="G131" s="22"/>
      <c r="H131" s="180">
        <f>IF(ISERROR(MATCH(ZonaTerritoriale,ElencoZone,0))=TRUE,0,INDEX(MatriceParametri,MATCH(ZonaTerritoriale,ElencoZone,0)+2,25))</f>
        <v>0</v>
      </c>
      <c r="I131" s="129"/>
      <c r="J131" s="165">
        <f>PRODUCT(H128,H131)</f>
        <v>0</v>
      </c>
      <c r="K131" s="145"/>
      <c r="L131" s="22"/>
      <c r="M131" s="22"/>
      <c r="N131" s="127"/>
      <c r="O131" s="17"/>
    </row>
    <row r="132" spans="1:15" s="326" customFormat="1" ht="20.100000000000001" hidden="1" customHeight="1" x14ac:dyDescent="0.2">
      <c r="A132" s="318"/>
      <c r="B132" s="864" t="str">
        <f>Parametri_DestUsoPersonalizzazione13</f>
        <v>Destinazione personalizzata 5</v>
      </c>
      <c r="C132" s="865"/>
      <c r="D132" s="890">
        <f>Ou_UsoIniziale_Person5_ParVirt</f>
        <v>0</v>
      </c>
      <c r="E132" s="890"/>
      <c r="F132" s="890"/>
      <c r="G132" s="323"/>
      <c r="H132" s="890">
        <f>Ou_NuovaEd_Person5_ParVirt</f>
        <v>0</v>
      </c>
      <c r="I132" s="890"/>
      <c r="J132" s="890"/>
      <c r="K132" s="328"/>
      <c r="L132" s="323"/>
      <c r="M132" s="323"/>
      <c r="N132" s="324"/>
      <c r="O132" s="325"/>
    </row>
    <row r="133" spans="1:15" s="8" customFormat="1" ht="12.75" hidden="1" customHeight="1" x14ac:dyDescent="0.2">
      <c r="A133" s="21"/>
      <c r="B133" s="866" t="s">
        <v>82</v>
      </c>
      <c r="C133" s="867"/>
      <c r="D133" s="177">
        <f>IF(Ou_PrimariaDefiniti="Sì",IF(ISERROR(MATCH(ZonaTerritoriale,ElencoZone,0))=TRUE,0,INDEX(MatriceParametri,MATCH(ZonaTerritoriale,ElencoZone,0),27)),0)</f>
        <v>0</v>
      </c>
      <c r="E133" s="129"/>
      <c r="F133" s="165">
        <f>PRODUCT(D132,D133)</f>
        <v>0</v>
      </c>
      <c r="G133" s="167"/>
      <c r="H133" s="177">
        <f>IF(Ou_PrimariaDefiniti="Sì",IF(ISERROR(MATCH(ZonaTerritoriale,ElencoZone,0))=TRUE,0,INDEX(MatriceParametri,MATCH(ZonaTerritoriale,ElencoZone,0),27)),0)</f>
        <v>0</v>
      </c>
      <c r="I133" s="129"/>
      <c r="J133" s="165">
        <f>PRODUCT(H132,H133)</f>
        <v>0</v>
      </c>
      <c r="K133" s="145"/>
      <c r="L133" s="22"/>
      <c r="M133" s="143"/>
      <c r="N133" s="127"/>
      <c r="O133" s="1"/>
    </row>
    <row r="134" spans="1:15" s="8" customFormat="1" ht="12.75" hidden="1" customHeight="1" x14ac:dyDescent="0.2">
      <c r="A134" s="21"/>
      <c r="B134" s="862" t="s">
        <v>83</v>
      </c>
      <c r="C134" s="863"/>
      <c r="D134" s="178">
        <f>IF(Ou_SecDefiniti="Sì",IF(ISERROR(MATCH(ZonaTerritoriale,ElencoZone,0))=TRUE,0,INDEX(MatriceParametri,MATCH(ZonaTerritoriale,ElencoZone,0)+1,27)),0)</f>
        <v>0</v>
      </c>
      <c r="E134" s="129"/>
      <c r="F134" s="165">
        <f>PRODUCT(D132,D134)</f>
        <v>0</v>
      </c>
      <c r="G134" s="22"/>
      <c r="H134" s="178">
        <f>IF(Ou_SecDefiniti="Sì",IF(ISERROR(MATCH(ZonaTerritoriale,ElencoZone,0))=TRUE,0,INDEX(MatriceParametri,MATCH(ZonaTerritoriale,ElencoZone,0)+1,27)),0)</f>
        <v>0</v>
      </c>
      <c r="I134" s="129"/>
      <c r="J134" s="165">
        <f>PRODUCT(H132,H134)</f>
        <v>0</v>
      </c>
      <c r="K134" s="145"/>
      <c r="L134" s="22"/>
      <c r="M134" s="143"/>
      <c r="N134" s="127"/>
      <c r="O134" s="1"/>
    </row>
    <row r="135" spans="1:15" s="12" customFormat="1" ht="12.75" hidden="1" customHeight="1" x14ac:dyDescent="0.2">
      <c r="A135" s="21"/>
      <c r="B135" s="862" t="s">
        <v>84</v>
      </c>
      <c r="C135" s="863"/>
      <c r="D135" s="180">
        <f>IF(ISERROR(MATCH(ZonaTerritoriale,ElencoZone,0))=TRUE,0,INDEX(MatriceParametri,MATCH(ZonaTerritoriale,ElencoZone,0)+2,27))</f>
        <v>0</v>
      </c>
      <c r="E135" s="129"/>
      <c r="F135" s="165">
        <f>PRODUCT(D132,D135)</f>
        <v>0</v>
      </c>
      <c r="G135" s="22"/>
      <c r="H135" s="180">
        <f>IF(ISERROR(MATCH(ZonaTerritoriale,ElencoZone,0))=TRUE,0,INDEX(MatriceParametri,MATCH(ZonaTerritoriale,ElencoZone,0)+2,27))</f>
        <v>0</v>
      </c>
      <c r="I135" s="129"/>
      <c r="J135" s="165">
        <f>PRODUCT(H132,H135)</f>
        <v>0</v>
      </c>
      <c r="K135" s="145"/>
      <c r="L135" s="22"/>
      <c r="M135" s="22"/>
      <c r="N135" s="127"/>
      <c r="O135" s="17"/>
    </row>
    <row r="136" spans="1:15" s="8" customFormat="1" ht="16.5" customHeight="1" x14ac:dyDescent="0.2">
      <c r="A136" s="21"/>
      <c r="B136" s="128"/>
      <c r="C136" s="920" t="s">
        <v>271</v>
      </c>
      <c r="D136" s="920"/>
      <c r="E136" s="920"/>
      <c r="F136" s="920"/>
      <c r="G136" s="920" t="s">
        <v>272</v>
      </c>
      <c r="H136" s="920"/>
      <c r="I136" s="920"/>
      <c r="J136" s="920"/>
      <c r="K136" s="232"/>
      <c r="L136" s="232"/>
      <c r="M136" s="143"/>
      <c r="N136" s="127"/>
      <c r="O136" s="1"/>
    </row>
    <row r="137" spans="1:15" s="8" customFormat="1" ht="12.75" customHeight="1" x14ac:dyDescent="0.2">
      <c r="A137" s="21"/>
      <c r="B137" s="128"/>
      <c r="C137" s="39"/>
      <c r="D137" s="877" t="s">
        <v>82</v>
      </c>
      <c r="E137" s="863"/>
      <c r="F137" s="168">
        <f>ROUND(F85+F89+F93+F97+F101+F105+F109+F113+F117+F121+F125+F129+F133,2)</f>
        <v>0</v>
      </c>
      <c r="G137" s="22"/>
      <c r="H137" s="877" t="s">
        <v>82</v>
      </c>
      <c r="I137" s="863"/>
      <c r="J137" s="165">
        <f>ROUND(J85+J89+J93+J97+J101+J105+J109+J113+J117+J121+J125+J129+J133,2)</f>
        <v>0</v>
      </c>
      <c r="K137" s="145"/>
      <c r="L137" s="22"/>
      <c r="M137" s="22"/>
      <c r="N137" s="127"/>
      <c r="O137" s="1"/>
    </row>
    <row r="138" spans="1:15" s="8" customFormat="1" ht="12.75" customHeight="1" x14ac:dyDescent="0.2">
      <c r="A138" s="21"/>
      <c r="B138" s="128"/>
      <c r="C138" s="39"/>
      <c r="D138" s="877" t="s">
        <v>83</v>
      </c>
      <c r="E138" s="863"/>
      <c r="F138" s="183">
        <f>ROUND(F86+F90+F94+F98+F102+F106+F110+F114+F118+F122+F126+F130+F134,2)</f>
        <v>0</v>
      </c>
      <c r="G138" s="22"/>
      <c r="H138" s="877" t="s">
        <v>83</v>
      </c>
      <c r="I138" s="863"/>
      <c r="J138" s="166">
        <f>ROUND(J86+J90+J94+J98+J102+J106+J110+J114+J118+J122+J126+J130+J134,2)</f>
        <v>0</v>
      </c>
      <c r="K138" s="145"/>
      <c r="L138" s="22"/>
      <c r="M138" s="22"/>
      <c r="N138" s="127"/>
      <c r="O138" s="1"/>
    </row>
    <row r="139" spans="1:15" s="8" customFormat="1" ht="12.75" customHeight="1" x14ac:dyDescent="0.2">
      <c r="A139" s="21"/>
      <c r="B139" s="128"/>
      <c r="C139" s="1"/>
      <c r="D139" s="877" t="s">
        <v>84</v>
      </c>
      <c r="E139" s="863"/>
      <c r="F139" s="314">
        <f>ROUND(F87+F91+F95+F99+F103+F107+F111+F115+F119+F123+F127+F131+F135,2)</f>
        <v>0</v>
      </c>
      <c r="G139" s="22"/>
      <c r="H139" s="877" t="s">
        <v>84</v>
      </c>
      <c r="I139" s="863"/>
      <c r="J139" s="166">
        <f>ROUND(J87+J91+J95+J99+J103+J107+J111+J115+J119+J123+J127+J131+J135,2)</f>
        <v>0</v>
      </c>
      <c r="K139" s="145"/>
      <c r="L139" s="22"/>
      <c r="M139" s="143"/>
      <c r="N139" s="127"/>
      <c r="O139" s="1"/>
    </row>
    <row r="140" spans="1:15" s="8" customFormat="1" ht="12.75" customHeight="1" x14ac:dyDescent="0.2">
      <c r="A140" s="21"/>
      <c r="B140" s="128"/>
      <c r="C140" s="1"/>
      <c r="D140" s="181"/>
      <c r="E140" s="131"/>
      <c r="F140" s="63"/>
      <c r="G140" s="22"/>
      <c r="H140" s="181"/>
      <c r="I140" s="131"/>
      <c r="J140" s="63"/>
      <c r="K140" s="145"/>
      <c r="L140" s="22"/>
      <c r="M140" s="143"/>
      <c r="N140" s="127"/>
      <c r="O140" s="1"/>
    </row>
    <row r="141" spans="1:15" s="8" customFormat="1" ht="12.75" customHeight="1" x14ac:dyDescent="0.2">
      <c r="A141" s="21"/>
      <c r="B141" s="836" t="s">
        <v>312</v>
      </c>
      <c r="C141" s="860"/>
      <c r="D141" s="860"/>
      <c r="E141" s="860"/>
      <c r="F141" s="860"/>
      <c r="G141" s="860"/>
      <c r="H141" s="860"/>
      <c r="I141" s="860"/>
      <c r="J141" s="860"/>
      <c r="K141" s="837"/>
      <c r="L141" s="875">
        <f>oneri_urb_prim_dest_finale-oneri_urb_prim_dest_iniziale</f>
        <v>0</v>
      </c>
      <c r="M141" s="876"/>
      <c r="N141" s="136"/>
      <c r="O141" s="1"/>
    </row>
    <row r="142" spans="1:15" s="8" customFormat="1" ht="12.75" customHeight="1" x14ac:dyDescent="0.2">
      <c r="A142" s="21"/>
      <c r="B142" s="834" t="s">
        <v>313</v>
      </c>
      <c r="C142" s="861"/>
      <c r="D142" s="861"/>
      <c r="E142" s="861"/>
      <c r="F142" s="861"/>
      <c r="G142" s="861"/>
      <c r="H142" s="861"/>
      <c r="I142" s="861"/>
      <c r="J142" s="861"/>
      <c r="K142" s="835"/>
      <c r="L142" s="875">
        <f>oneri_urb_sec_dest_finale-oneri_urb_sec_dest_iniziale</f>
        <v>0</v>
      </c>
      <c r="M142" s="876"/>
      <c r="N142" s="136"/>
      <c r="O142" s="1"/>
    </row>
    <row r="143" spans="1:15" s="8" customFormat="1" ht="12.75" customHeight="1" x14ac:dyDescent="0.2">
      <c r="A143" s="21"/>
      <c r="B143" s="834" t="s">
        <v>270</v>
      </c>
      <c r="C143" s="861"/>
      <c r="D143" s="861"/>
      <c r="E143" s="861"/>
      <c r="F143" s="861"/>
      <c r="G143" s="861"/>
      <c r="H143" s="861"/>
      <c r="I143" s="861"/>
      <c r="J143" s="861"/>
      <c r="K143" s="835"/>
      <c r="L143" s="875">
        <f>smalt_rifiuti_dest_finale-smalt_rifiuti_dest_iniziale</f>
        <v>0</v>
      </c>
      <c r="M143" s="876"/>
      <c r="N143" s="136"/>
      <c r="O143" s="1"/>
    </row>
    <row r="144" spans="1:15" s="8" customFormat="1" ht="12.75" customHeight="1" x14ac:dyDescent="0.2">
      <c r="A144" s="21"/>
      <c r="B144" s="128"/>
      <c r="C144" s="1"/>
      <c r="D144" s="181"/>
      <c r="E144" s="131"/>
      <c r="F144" s="63"/>
      <c r="G144" s="22"/>
      <c r="H144" s="181"/>
      <c r="I144" s="131"/>
      <c r="J144" s="63"/>
      <c r="K144" s="145"/>
      <c r="L144" s="22"/>
      <c r="M144" s="143"/>
      <c r="N144" s="127"/>
      <c r="O144" s="1"/>
    </row>
    <row r="145" spans="1:15" s="12" customFormat="1" ht="15" customHeight="1" x14ac:dyDescent="0.2">
      <c r="A145" s="21"/>
      <c r="B145" s="882" t="s">
        <v>291</v>
      </c>
      <c r="C145" s="883"/>
      <c r="D145" s="883"/>
      <c r="E145" s="883"/>
      <c r="F145" s="883"/>
      <c r="G145" s="883"/>
      <c r="H145" s="883"/>
      <c r="I145" s="883"/>
      <c r="J145" s="883"/>
      <c r="K145" s="884"/>
      <c r="L145" s="880">
        <f>IF(ImportoOneriUrb1_NuovaDest+ImportoOneriUrb2_NuovaDest&gt;0,ImportoOneriUrb1_NuovaDest+ImportoOneriUrb2_NuovaDest,0)</f>
        <v>0</v>
      </c>
      <c r="M145" s="881"/>
      <c r="N145" s="136"/>
      <c r="O145" s="17"/>
    </row>
    <row r="146" spans="1:15" s="8" customFormat="1" ht="15" customHeight="1" x14ac:dyDescent="0.2">
      <c r="A146" s="21"/>
      <c r="B146" s="882" t="s">
        <v>270</v>
      </c>
      <c r="C146" s="883"/>
      <c r="D146" s="883"/>
      <c r="E146" s="883"/>
      <c r="F146" s="883"/>
      <c r="G146" s="883"/>
      <c r="H146" s="883"/>
      <c r="I146" s="883"/>
      <c r="J146" s="883"/>
      <c r="K146" s="884"/>
      <c r="L146" s="880">
        <f>IF(smalt_rifiuti_dest_finale-smalt_rifiuti_dest_iniziale&gt;0,smalt_rifiuti_dest_finale-smalt_rifiuti_dest_iniziale,0)</f>
        <v>0</v>
      </c>
      <c r="M146" s="881"/>
      <c r="N146" s="127"/>
      <c r="O146" s="1"/>
    </row>
    <row r="147" spans="1:15" s="12" customFormat="1" ht="12.75" customHeight="1" thickBot="1" x14ac:dyDescent="0.25">
      <c r="A147" s="21"/>
      <c r="B147" s="215"/>
      <c r="C147" s="216"/>
      <c r="D147" s="216"/>
      <c r="E147" s="216"/>
      <c r="F147" s="216"/>
      <c r="G147" s="217"/>
      <c r="H147" s="217"/>
      <c r="I147" s="142"/>
      <c r="J147" s="218"/>
      <c r="K147" s="218"/>
      <c r="L147" s="142"/>
      <c r="M147" s="219"/>
      <c r="N147" s="195"/>
      <c r="O147" s="17"/>
    </row>
    <row r="148" spans="1:15" s="12" customFormat="1" ht="15" customHeight="1" thickBot="1" x14ac:dyDescent="0.25">
      <c r="A148" s="21"/>
      <c r="B148" s="868" t="s">
        <v>78</v>
      </c>
      <c r="C148" s="868"/>
      <c r="D148" s="868"/>
      <c r="E148" s="868"/>
      <c r="F148" s="868"/>
      <c r="G148" s="868"/>
      <c r="H148" s="868"/>
      <c r="I148" s="868"/>
      <c r="J148" s="868"/>
      <c r="K148" s="869"/>
      <c r="L148" s="878">
        <f>ImportoOneriUrbanizzazione+ImportoSmaltRifiuti_NuovaDest+ImportoOneriUrbanizzazione_NuovaDest</f>
        <v>0</v>
      </c>
      <c r="M148" s="879"/>
      <c r="N148" s="199"/>
      <c r="O148" s="17"/>
    </row>
    <row r="149" spans="1:15" s="7" customFormat="1" ht="16.5" customHeight="1" thickBot="1" x14ac:dyDescent="0.25">
      <c r="A149" s="21"/>
      <c r="B149" s="22"/>
      <c r="C149" s="23"/>
      <c r="D149" s="24"/>
      <c r="E149" s="25"/>
      <c r="F149" s="24"/>
      <c r="G149" s="22"/>
      <c r="H149" s="22"/>
      <c r="I149" s="22"/>
      <c r="J149" s="22"/>
      <c r="K149" s="22"/>
      <c r="L149" s="22"/>
      <c r="M149" s="22"/>
      <c r="N149" s="21"/>
      <c r="O149" s="2"/>
    </row>
    <row r="150" spans="1:15" s="10" customFormat="1" ht="15" customHeight="1" x14ac:dyDescent="0.25">
      <c r="A150" s="32"/>
      <c r="B150" s="838" t="s">
        <v>273</v>
      </c>
      <c r="C150" s="839"/>
      <c r="D150" s="839"/>
      <c r="E150" s="839"/>
      <c r="F150" s="839"/>
      <c r="G150" s="839"/>
      <c r="H150" s="839"/>
      <c r="I150" s="839"/>
      <c r="J150" s="839"/>
      <c r="K150" s="839"/>
      <c r="L150" s="839"/>
      <c r="M150" s="839"/>
      <c r="N150" s="840"/>
      <c r="O150" s="15"/>
    </row>
    <row r="151" spans="1:15" s="10" customFormat="1" ht="15" customHeight="1" x14ac:dyDescent="0.25">
      <c r="A151" s="32"/>
      <c r="B151" s="340"/>
      <c r="C151" s="131"/>
      <c r="D151" s="22"/>
      <c r="E151" s="22"/>
      <c r="F151" s="22"/>
      <c r="G151" s="22"/>
      <c r="H151" s="22"/>
      <c r="I151" s="22"/>
      <c r="J151" s="22"/>
      <c r="K151" s="22"/>
      <c r="L151" s="22"/>
      <c r="M151" s="22"/>
      <c r="N151" s="136"/>
      <c r="O151" s="15"/>
    </row>
    <row r="152" spans="1:15" s="10" customFormat="1" ht="15" customHeight="1" x14ac:dyDescent="0.25">
      <c r="A152" s="32"/>
      <c r="B152" s="870" t="s">
        <v>142</v>
      </c>
      <c r="C152" s="871"/>
      <c r="D152" s="871"/>
      <c r="E152" s="871"/>
      <c r="F152" s="871"/>
      <c r="G152" s="871"/>
      <c r="H152" s="871"/>
      <c r="I152" s="871"/>
      <c r="J152" s="871"/>
      <c r="K152" s="871"/>
      <c r="L152" s="871"/>
      <c r="M152" s="871"/>
      <c r="N152" s="872"/>
      <c r="O152" s="15"/>
    </row>
    <row r="153" spans="1:15" s="11" customFormat="1" ht="15" customHeight="1" x14ac:dyDescent="0.25">
      <c r="A153" s="28"/>
      <c r="B153" s="128"/>
      <c r="C153" s="131"/>
      <c r="D153" s="874" t="s">
        <v>5</v>
      </c>
      <c r="E153" s="874"/>
      <c r="F153" s="874"/>
      <c r="G153" s="22"/>
      <c r="H153" s="874" t="s">
        <v>0</v>
      </c>
      <c r="I153" s="874"/>
      <c r="J153" s="874"/>
      <c r="K153" s="124"/>
      <c r="L153" s="28"/>
      <c r="M153" s="188"/>
      <c r="N153" s="126"/>
      <c r="O153" s="16"/>
    </row>
    <row r="154" spans="1:15" s="12" customFormat="1" ht="12.75" customHeight="1" x14ac:dyDescent="0.2">
      <c r="A154" s="21"/>
      <c r="B154" s="919" t="s">
        <v>1</v>
      </c>
      <c r="C154" s="150" t="s">
        <v>86</v>
      </c>
      <c r="D154" s="196">
        <f ca="1">CostoCost_NuovaCost_ContrBaseMinistAliq</f>
        <v>6</v>
      </c>
      <c r="E154" s="25" t="s">
        <v>2</v>
      </c>
      <c r="F154" s="198">
        <f ca="1">(CostoCost_NuovaCostResid_SupCompl*DetClasse_CostoMaggiorato)*CostoCost_NuovaCost_ContrBaseMinistAliq/100</f>
        <v>0</v>
      </c>
      <c r="G154" s="150" t="s">
        <v>86</v>
      </c>
      <c r="H154" s="196">
        <f ca="1">CostoCost_Rist_ContrBaseMinistAliq</f>
        <v>5</v>
      </c>
      <c r="I154" s="25" t="s">
        <v>2</v>
      </c>
      <c r="J154" s="198">
        <f ca="1">(CostoCost_RistResid_SupCompl*DetClasse_CostoMaggiorato)*CostoCost_Rist_ContrBaseMinistAliq/100</f>
        <v>0</v>
      </c>
      <c r="K154" s="224"/>
      <c r="L154" s="873">
        <f ca="1">ROUND(SUM(F154,F155,J154,J155),2)</f>
        <v>0</v>
      </c>
      <c r="M154" s="873"/>
      <c r="N154" s="127"/>
      <c r="O154" s="18"/>
    </row>
    <row r="155" spans="1:15" s="12" customFormat="1" ht="12.75" customHeight="1" x14ac:dyDescent="0.2">
      <c r="A155" s="21"/>
      <c r="B155" s="919"/>
      <c r="C155" s="131" t="s">
        <v>4</v>
      </c>
      <c r="D155" s="196">
        <f ca="1">CostoCost_NuovaCost_ContrComEstResAliq</f>
        <v>6</v>
      </c>
      <c r="E155" s="25" t="s">
        <v>2</v>
      </c>
      <c r="F155" s="198">
        <f ca="1">CostoCostFinale_NuovaCostResid_ComputoEstim</f>
        <v>0</v>
      </c>
      <c r="G155" s="587" t="s">
        <v>4</v>
      </c>
      <c r="H155" s="706">
        <f>CostoCost_Rist_ContrComEstComAliq</f>
        <v>0.1</v>
      </c>
      <c r="I155" s="586" t="s">
        <v>2</v>
      </c>
      <c r="J155" s="198">
        <f ca="1">'Costo Costruzione'!M26</f>
        <v>0</v>
      </c>
      <c r="K155" s="590"/>
      <c r="L155" s="873"/>
      <c r="M155" s="873"/>
      <c r="N155" s="127"/>
      <c r="O155" s="18"/>
    </row>
    <row r="156" spans="1:15" s="12" customFormat="1" ht="12.75" customHeight="1" x14ac:dyDescent="0.2">
      <c r="A156" s="21"/>
      <c r="B156" s="927" t="s">
        <v>150</v>
      </c>
      <c r="C156" s="749" t="s">
        <v>86</v>
      </c>
      <c r="D156" s="196">
        <f ca="1">CostoCost_NuovaCost_ContrBaseMinistAliq</f>
        <v>6</v>
      </c>
      <c r="E156" s="746" t="s">
        <v>2</v>
      </c>
      <c r="F156" s="198">
        <f ca="1">(CostoCost_NuovaCostComm_SupCompl*DetClasse_CostoMaggiorato)*CostoCost_NuovaCost_ContrBaseMinistAliq/100</f>
        <v>0</v>
      </c>
      <c r="G156" s="150" t="s">
        <v>86</v>
      </c>
      <c r="H156" s="196">
        <f ca="1">CostoCost_Rist_ContrBaseMinistAliq</f>
        <v>5</v>
      </c>
      <c r="I156" s="25" t="s">
        <v>2</v>
      </c>
      <c r="J156" s="589">
        <f ca="1">(CostoCost_RistComm_SupCompl*DetClasse_CostoMaggiorato)*CostoCost_Rist_ContrBaseMinistAliq/100</f>
        <v>0</v>
      </c>
      <c r="K156" s="750"/>
      <c r="L156" s="873">
        <f ca="1">ROUND(SUM(F156,F157,J156,J157),2)</f>
        <v>0</v>
      </c>
      <c r="M156" s="873"/>
      <c r="N156" s="127"/>
      <c r="O156" s="18"/>
    </row>
    <row r="157" spans="1:15" s="12" customFormat="1" ht="12.75" customHeight="1" x14ac:dyDescent="0.2">
      <c r="A157" s="21"/>
      <c r="B157" s="836"/>
      <c r="C157" s="745" t="s">
        <v>4</v>
      </c>
      <c r="D157" s="706">
        <f>CostoCost_NuovaCost_ContrComEstComAliq</f>
        <v>0.1</v>
      </c>
      <c r="E157" s="25" t="s">
        <v>2</v>
      </c>
      <c r="F157" s="198">
        <f>CostoCostFinale_NuovaCostComm_ComputoEstim</f>
        <v>0</v>
      </c>
      <c r="G157" s="748" t="s">
        <v>4</v>
      </c>
      <c r="H157" s="707">
        <f>CostoCost_Rist_ContrComEstComAliq</f>
        <v>0.1</v>
      </c>
      <c r="I157" s="200" t="s">
        <v>2</v>
      </c>
      <c r="J157" s="589">
        <f>'Costo Costruzione'!M27</f>
        <v>0</v>
      </c>
      <c r="K157" s="588"/>
      <c r="L157" s="873"/>
      <c r="M157" s="873"/>
      <c r="N157" s="127"/>
      <c r="O157" s="19"/>
    </row>
    <row r="158" spans="1:15" s="12" customFormat="1" ht="15" hidden="1" customHeight="1" x14ac:dyDescent="0.2">
      <c r="A158" s="21"/>
      <c r="B158" s="64" t="s">
        <v>87</v>
      </c>
      <c r="C158" s="151" t="s">
        <v>4</v>
      </c>
      <c r="D158" s="197">
        <v>0.1</v>
      </c>
      <c r="E158" s="25" t="s">
        <v>3</v>
      </c>
      <c r="F158" s="198">
        <v>0</v>
      </c>
      <c r="G158" s="131"/>
      <c r="H158" s="153"/>
      <c r="I158" s="25"/>
      <c r="J158" s="154"/>
      <c r="K158" s="154"/>
      <c r="L158" s="152"/>
      <c r="M158" s="245">
        <f>SUM(F158,J158)</f>
        <v>0</v>
      </c>
      <c r="N158" s="127"/>
      <c r="O158" s="20"/>
    </row>
    <row r="159" spans="1:15" s="12" customFormat="1" ht="15" hidden="1" customHeight="1" x14ac:dyDescent="0.2">
      <c r="A159" s="21"/>
      <c r="B159" s="64" t="s">
        <v>92</v>
      </c>
      <c r="C159" s="151" t="s">
        <v>4</v>
      </c>
      <c r="D159" s="197">
        <v>0.1</v>
      </c>
      <c r="E159" s="25" t="s">
        <v>3</v>
      </c>
      <c r="F159" s="198">
        <v>0</v>
      </c>
      <c r="G159" s="131"/>
      <c r="H159" s="153"/>
      <c r="I159" s="25"/>
      <c r="J159" s="154"/>
      <c r="K159" s="154"/>
      <c r="L159" s="155"/>
      <c r="M159" s="246">
        <f>SUM(F159,J159)</f>
        <v>0</v>
      </c>
      <c r="N159" s="127"/>
      <c r="O159" s="20"/>
    </row>
    <row r="160" spans="1:15" s="12" customFormat="1" ht="15" hidden="1" customHeight="1" x14ac:dyDescent="0.2">
      <c r="A160" s="21"/>
      <c r="B160" s="64" t="s">
        <v>93</v>
      </c>
      <c r="C160" s="151" t="s">
        <v>4</v>
      </c>
      <c r="D160" s="197">
        <v>0.1</v>
      </c>
      <c r="E160" s="25" t="s">
        <v>3</v>
      </c>
      <c r="F160" s="198">
        <v>0</v>
      </c>
      <c r="G160" s="131"/>
      <c r="H160" s="153"/>
      <c r="I160" s="25"/>
      <c r="J160" s="154"/>
      <c r="K160" s="154"/>
      <c r="L160" s="155"/>
      <c r="M160" s="247">
        <f>SUM(F160,J160)</f>
        <v>0</v>
      </c>
      <c r="N160" s="127"/>
      <c r="O160" s="20"/>
    </row>
    <row r="161" spans="1:15" s="12" customFormat="1" ht="12.75" customHeight="1" x14ac:dyDescent="0.2">
      <c r="A161" s="21"/>
      <c r="B161" s="925" t="s">
        <v>108</v>
      </c>
      <c r="C161" s="150" t="s">
        <v>86</v>
      </c>
      <c r="D161" s="196">
        <f ca="1">CostoCost_Sot_ContrBaseMinistAliq</f>
        <v>6</v>
      </c>
      <c r="E161" s="746" t="s">
        <v>2</v>
      </c>
      <c r="F161" s="198">
        <f ca="1">CostoCost_Sottotetti_ContrBaseMinistValore</f>
        <v>0</v>
      </c>
      <c r="G161" s="928"/>
      <c r="H161" s="929"/>
      <c r="I161" s="929"/>
      <c r="J161" s="929"/>
      <c r="K161" s="930"/>
      <c r="L161" s="873">
        <f ca="1">ROUND(SUM(F161,F162),2)</f>
        <v>0</v>
      </c>
      <c r="M161" s="873"/>
      <c r="N161" s="127"/>
      <c r="O161" s="18"/>
    </row>
    <row r="162" spans="1:15" s="12" customFormat="1" ht="12.75" customHeight="1" x14ac:dyDescent="0.2">
      <c r="A162" s="21"/>
      <c r="B162" s="926"/>
      <c r="C162" s="745" t="s">
        <v>4</v>
      </c>
      <c r="D162" s="196">
        <f ca="1">CostoCost_Sot_ContrBaseMinistAliq</f>
        <v>6</v>
      </c>
      <c r="E162" s="747" t="s">
        <v>2</v>
      </c>
      <c r="F162" s="198">
        <f ca="1">CostoCostFinale_Sottotetti_ComputoEstim</f>
        <v>0</v>
      </c>
      <c r="G162" s="931"/>
      <c r="H162" s="932"/>
      <c r="I162" s="932"/>
      <c r="J162" s="932"/>
      <c r="K162" s="933"/>
      <c r="L162" s="873"/>
      <c r="M162" s="873"/>
      <c r="N162" s="127"/>
      <c r="O162" s="18"/>
    </row>
    <row r="163" spans="1:15" s="756" customFormat="1" ht="25.5" customHeight="1" x14ac:dyDescent="0.2">
      <c r="A163" s="751"/>
      <c r="B163" s="934" t="s">
        <v>198</v>
      </c>
      <c r="C163" s="935"/>
      <c r="D163" s="936"/>
      <c r="E163" s="936"/>
      <c r="F163" s="936"/>
      <c r="G163" s="936"/>
      <c r="H163" s="936"/>
      <c r="I163" s="936"/>
      <c r="J163" s="936"/>
      <c r="K163" s="937"/>
      <c r="L163" s="752" t="str">
        <f ca="1">IF(CC_AltriCosti_ValoreMaggCCRecSott&gt;0,IF(Parametri_MaggiorazioneSottotettiCC&gt;0, TEXT(IF(ZonaTerritoriale="A",Parametri_MaggiorazioneSottotettiCC,Parametri_MaggiorazioneSottotettiCCAZone),"0%")&amp;" a dedurre","Nessuna"),"")</f>
        <v/>
      </c>
      <c r="M163" s="753">
        <f ca="1">CostoCost_Sott_ContEscMagg*IF(ZonaTerritoriale="A",Parametri_MaggiorazioneSottotettiCC,Parametri_MaggiorazioneSottotettiCCAZone)</f>
        <v>0</v>
      </c>
      <c r="N163" s="754"/>
      <c r="O163" s="755"/>
    </row>
    <row r="164" spans="1:15" s="12" customFormat="1" ht="25.5" customHeight="1" x14ac:dyDescent="0.2">
      <c r="A164" s="21"/>
      <c r="B164" s="934" t="s">
        <v>225</v>
      </c>
      <c r="C164" s="935"/>
      <c r="D164" s="861"/>
      <c r="E164" s="861"/>
      <c r="F164" s="861"/>
      <c r="G164" s="861"/>
      <c r="H164" s="861"/>
      <c r="I164" s="861"/>
      <c r="J164" s="861"/>
      <c r="K164" s="835"/>
      <c r="L164" s="222"/>
      <c r="M164" s="79">
        <f>IF(InSanatoria="Si (onerosa)",CC_Residenziale+CC_CommercioTerziario+cc_CostoCostRecSottProg+CC_AltriCosti_ValoreMaggCCRecSott,0)</f>
        <v>0</v>
      </c>
      <c r="N164" s="203"/>
      <c r="O164" s="17"/>
    </row>
    <row r="165" spans="1:15" s="12" customFormat="1" ht="12.75" customHeight="1" x14ac:dyDescent="0.2">
      <c r="A165" s="21"/>
      <c r="B165" s="834" t="s">
        <v>200</v>
      </c>
      <c r="C165" s="861"/>
      <c r="D165" s="861"/>
      <c r="E165" s="861"/>
      <c r="F165" s="861"/>
      <c r="G165" s="861"/>
      <c r="H165" s="861"/>
      <c r="I165" s="861"/>
      <c r="J165" s="861"/>
      <c r="K165" s="835"/>
      <c r="L165" s="280" t="str">
        <f>IF(CC_RiduzionePianoCasa&gt;0,IF(Par_PianoCasa_RidCC&gt;0, TEXT(Par_PianoCasa_RidCC,"0%")&amp;" a dedurre","Nessuna"),"")</f>
        <v/>
      </c>
      <c r="M165" s="79">
        <f>IF(PianoCasa="Sì",((CC_Residenziale+CC_CommercioTerziario+cc_CostoCostRecSottProg+CC_AltriCosti_ValoreMaggCCRecSott)*Par_PianoCasa_Rid),0 )</f>
        <v>0</v>
      </c>
      <c r="N165" s="203"/>
      <c r="O165" s="17"/>
    </row>
    <row r="166" spans="1:15" s="12" customFormat="1" ht="12.75" customHeight="1" x14ac:dyDescent="0.2">
      <c r="A166" s="21"/>
      <c r="B166" s="834" t="s">
        <v>199</v>
      </c>
      <c r="C166" s="861"/>
      <c r="D166" s="861"/>
      <c r="E166" s="861"/>
      <c r="F166" s="861"/>
      <c r="G166" s="861"/>
      <c r="H166" s="861"/>
      <c r="I166" s="861"/>
      <c r="J166" s="861"/>
      <c r="K166" s="835"/>
      <c r="L166" s="665" t="s">
        <v>305</v>
      </c>
      <c r="M166" s="663">
        <f>CostoCostr_NuovaEdif_corrisposto_concessione_cong+CostoCostr_NuovaEdif_corrisposto_varianti+CostoCostr_Ristrutt_corrisposto_concessione_cong+CostoCostr_Ristrutt_corrisposto_varianti</f>
        <v>0</v>
      </c>
      <c r="N166" s="241"/>
      <c r="O166" s="18"/>
    </row>
    <row r="167" spans="1:15" s="12" customFormat="1" ht="15" customHeight="1" x14ac:dyDescent="0.2">
      <c r="A167" s="21"/>
      <c r="B167" s="894" t="s">
        <v>105</v>
      </c>
      <c r="C167" s="895"/>
      <c r="D167" s="895"/>
      <c r="E167" s="895"/>
      <c r="F167" s="895"/>
      <c r="G167" s="895"/>
      <c r="H167" s="895"/>
      <c r="I167" s="895"/>
      <c r="J167" s="895"/>
      <c r="K167" s="896"/>
      <c r="L167" s="904">
        <f ca="1">IF((CC_Residenziale+CC_CommercioTerziario+cc_CostoCostRecSottProg+CC_AltriCosti_ValoreMaggCCRecSott+CC_SanzioneCostoCostruzione-CC_RiduzionePianoCasa-CC_Corrisposto)&gt;0,CC_Residenziale+CC_CommercioTerziario+cc_CostoCostRecSottProg+CC_AltriCosti_ValoreMaggCCRecSott+CC_SanzioneCostoCostruzione-CC_RiduzionePianoCasa-CC_Corrisposto,0)</f>
        <v>0</v>
      </c>
      <c r="M167" s="905"/>
      <c r="N167" s="127"/>
      <c r="O167" s="17"/>
    </row>
    <row r="168" spans="1:15" s="12" customFormat="1" ht="12.75" customHeight="1" x14ac:dyDescent="0.2">
      <c r="A168" s="21"/>
      <c r="B168" s="337"/>
      <c r="C168" s="227"/>
      <c r="D168" s="227"/>
      <c r="E168" s="227"/>
      <c r="F168" s="227"/>
      <c r="G168" s="227"/>
      <c r="H168" s="227"/>
      <c r="I168" s="227"/>
      <c r="J168" s="338"/>
      <c r="K168" s="227"/>
      <c r="L168" s="339"/>
      <c r="M168" s="339"/>
      <c r="N168" s="127"/>
      <c r="O168" s="17"/>
    </row>
    <row r="169" spans="1:15" s="10" customFormat="1" ht="12.75" customHeight="1" x14ac:dyDescent="0.25">
      <c r="A169" s="32"/>
      <c r="B169" s="870" t="s">
        <v>140</v>
      </c>
      <c r="C169" s="871"/>
      <c r="D169" s="871"/>
      <c r="E169" s="871"/>
      <c r="F169" s="871"/>
      <c r="G169" s="871"/>
      <c r="H169" s="871"/>
      <c r="I169" s="871"/>
      <c r="J169" s="871"/>
      <c r="K169" s="871"/>
      <c r="L169" s="871"/>
      <c r="M169" s="871"/>
      <c r="N169" s="872"/>
      <c r="O169" s="15"/>
    </row>
    <row r="170" spans="1:15" s="7" customFormat="1" ht="12.75" customHeight="1" x14ac:dyDescent="0.2">
      <c r="A170" s="21"/>
      <c r="B170" s="906" t="s">
        <v>125</v>
      </c>
      <c r="C170" s="907"/>
      <c r="D170" s="907"/>
      <c r="E170" s="907"/>
      <c r="F170" s="907"/>
      <c r="G170" s="907"/>
      <c r="H170" s="907"/>
      <c r="I170" s="907"/>
      <c r="J170" s="907"/>
      <c r="K170" s="908"/>
      <c r="L170" s="875">
        <f>CostoCostProg_ContributoDovuto</f>
        <v>0</v>
      </c>
      <c r="M170" s="876"/>
      <c r="N170" s="160"/>
      <c r="O170" s="2"/>
    </row>
    <row r="171" spans="1:15" s="7" customFormat="1" ht="12.75" customHeight="1" x14ac:dyDescent="0.2">
      <c r="A171" s="21"/>
      <c r="B171" s="897" t="s">
        <v>141</v>
      </c>
      <c r="C171" s="898"/>
      <c r="D171" s="898"/>
      <c r="E171" s="898"/>
      <c r="F171" s="898"/>
      <c r="G171" s="898"/>
      <c r="H171" s="898"/>
      <c r="I171" s="898"/>
      <c r="J171" s="898"/>
      <c r="K171" s="899"/>
      <c r="L171" s="900">
        <f>CostoCostStatoFatto_ContributoDovuto</f>
        <v>0</v>
      </c>
      <c r="M171" s="900"/>
      <c r="N171" s="136"/>
      <c r="O171" s="2"/>
    </row>
    <row r="172" spans="1:15" s="12" customFormat="1" ht="12.75" customHeight="1" x14ac:dyDescent="0.2">
      <c r="A172" s="21"/>
      <c r="B172" s="834" t="s">
        <v>225</v>
      </c>
      <c r="C172" s="861"/>
      <c r="D172" s="861"/>
      <c r="E172" s="861"/>
      <c r="F172" s="861"/>
      <c r="G172" s="861"/>
      <c r="H172" s="861"/>
      <c r="I172" s="861"/>
      <c r="J172" s="861"/>
      <c r="K172" s="835"/>
      <c r="L172" s="222"/>
      <c r="M172" s="79">
        <f>IF(InSanatoria="Si (onerosa)",(CostoCostProg_ContributoDovuto-CostoCostStatoFatto_ContributoDovuto),0)</f>
        <v>0</v>
      </c>
      <c r="N172" s="203"/>
      <c r="O172" s="17"/>
    </row>
    <row r="173" spans="1:15" s="12" customFormat="1" ht="12.75" customHeight="1" x14ac:dyDescent="0.2">
      <c r="A173" s="21"/>
      <c r="B173" s="834" t="s">
        <v>200</v>
      </c>
      <c r="C173" s="861"/>
      <c r="D173" s="861"/>
      <c r="E173" s="861"/>
      <c r="F173" s="861"/>
      <c r="G173" s="861"/>
      <c r="H173" s="861"/>
      <c r="I173" s="861"/>
      <c r="J173" s="861"/>
      <c r="K173" s="835"/>
      <c r="L173" s="280" t="str">
        <f>IF(CC_RiduzionePianoCasa_StFatto_Prog&gt;0,IF(Par_PianoCasa_RidCC&gt;0, TEXT(Par_PianoCasa_RidCC,"0%")&amp;" a dedurre","Nessuna"),"")</f>
        <v/>
      </c>
      <c r="M173" s="79">
        <f>IF(PianoCasa="Sì",((CostoCostProg_ContributoDovuto-CostoCostStatoFatto_ContributoDovuto)*Par_PianoCasa_RidCC),0 )</f>
        <v>0</v>
      </c>
      <c r="N173" s="203"/>
      <c r="O173" s="17"/>
    </row>
    <row r="174" spans="1:15" s="7" customFormat="1" ht="12.75" customHeight="1" x14ac:dyDescent="0.2">
      <c r="A174" s="21"/>
      <c r="B174" s="897" t="s">
        <v>158</v>
      </c>
      <c r="C174" s="898"/>
      <c r="D174" s="898"/>
      <c r="E174" s="898"/>
      <c r="F174" s="898"/>
      <c r="G174" s="898"/>
      <c r="H174" s="898"/>
      <c r="I174" s="898"/>
      <c r="J174" s="898"/>
      <c r="K174" s="899"/>
      <c r="L174" s="279" t="s">
        <v>305</v>
      </c>
      <c r="M174" s="79"/>
      <c r="N174" s="136"/>
      <c r="O174" s="2"/>
    </row>
    <row r="175" spans="1:15" s="119" customFormat="1" ht="15" customHeight="1" x14ac:dyDescent="0.2">
      <c r="A175" s="21"/>
      <c r="B175" s="894" t="s">
        <v>105</v>
      </c>
      <c r="C175" s="895"/>
      <c r="D175" s="895"/>
      <c r="E175" s="895"/>
      <c r="F175" s="895"/>
      <c r="G175" s="895"/>
      <c r="H175" s="895"/>
      <c r="I175" s="895"/>
      <c r="J175" s="895"/>
      <c r="K175" s="896"/>
      <c r="L175" s="903">
        <f>IF((CostoCostProg_ContributoDovuto-CostoCostStatoFatto_ContributoDovuto-CostoCostr_Prog_StFatto_corrisposto-CC_RiduzionePianoCasa_StFatto_Prog+CC_SanzioneCostoCostruzione_StFatto_Prog)&gt;0,CostoCostProg_ContributoDovuto-CostoCostStatoFatto_ContributoDovuto-CostoCostr_Prog_StFatto_corrisposto-CC_RiduzionePianoCasa_StFatto_Prog+CC_SanzioneCostoCostruzione_StFatto_Prog,0)</f>
        <v>0</v>
      </c>
      <c r="M175" s="903"/>
      <c r="N175" s="136"/>
      <c r="O175" s="2"/>
    </row>
    <row r="176" spans="1:15" s="12" customFormat="1" ht="12.75" customHeight="1" thickBot="1" x14ac:dyDescent="0.25">
      <c r="A176" s="21"/>
      <c r="B176" s="206"/>
      <c r="C176" s="207"/>
      <c r="D176" s="208"/>
      <c r="E176" s="141"/>
      <c r="F176" s="209"/>
      <c r="G176" s="142"/>
      <c r="H176" s="142"/>
      <c r="I176" s="142"/>
      <c r="J176" s="142"/>
      <c r="K176" s="142"/>
      <c r="L176" s="142"/>
      <c r="M176" s="211"/>
      <c r="N176" s="210"/>
      <c r="O176" s="18"/>
    </row>
    <row r="177" spans="1:15" s="119" customFormat="1" ht="15" customHeight="1" x14ac:dyDescent="0.2">
      <c r="A177" s="21"/>
      <c r="B177" s="855" t="s">
        <v>105</v>
      </c>
      <c r="C177" s="855"/>
      <c r="D177" s="855"/>
      <c r="E177" s="855"/>
      <c r="F177" s="855"/>
      <c r="G177" s="855"/>
      <c r="H177" s="855"/>
      <c r="I177" s="855"/>
      <c r="J177" s="855"/>
      <c r="K177" s="856"/>
      <c r="L177" s="909">
        <f ca="1">ROUND(ImportoCostoCostruzione+ImportoCostoCostruzione_StatoFattoProgetto,2)</f>
        <v>0</v>
      </c>
      <c r="M177" s="910"/>
      <c r="N177" s="108"/>
      <c r="O177" s="2"/>
    </row>
    <row r="178" spans="1:15" s="7" customFormat="1" ht="15.75" customHeight="1" thickBot="1" x14ac:dyDescent="0.25">
      <c r="A178" s="21"/>
      <c r="B178" s="22"/>
      <c r="C178" s="23"/>
      <c r="D178" s="24"/>
      <c r="E178" s="25"/>
      <c r="F178" s="24"/>
      <c r="G178" s="22"/>
      <c r="H178" s="22"/>
      <c r="I178" s="22"/>
      <c r="J178" s="22"/>
      <c r="K178" s="22"/>
      <c r="L178" s="22"/>
      <c r="M178" s="22"/>
      <c r="N178" s="21"/>
      <c r="O178" s="2"/>
    </row>
    <row r="179" spans="1:15" s="11" customFormat="1" ht="15" customHeight="1" x14ac:dyDescent="0.25">
      <c r="A179" s="28"/>
      <c r="B179" s="857" t="s">
        <v>88</v>
      </c>
      <c r="C179" s="858"/>
      <c r="D179" s="858"/>
      <c r="E179" s="858"/>
      <c r="F179" s="858"/>
      <c r="G179" s="858"/>
      <c r="H179" s="858"/>
      <c r="I179" s="858"/>
      <c r="J179" s="858"/>
      <c r="K179" s="858"/>
      <c r="L179" s="858"/>
      <c r="M179" s="858"/>
      <c r="N179" s="859"/>
      <c r="O179" s="16"/>
    </row>
    <row r="180" spans="1:15" s="12" customFormat="1" ht="12.75" customHeight="1" x14ac:dyDescent="0.2">
      <c r="A180" s="21"/>
      <c r="B180" s="836" t="s">
        <v>206</v>
      </c>
      <c r="C180" s="860"/>
      <c r="D180" s="860"/>
      <c r="E180" s="860"/>
      <c r="F180" s="860"/>
      <c r="G180" s="860"/>
      <c r="H180" s="860"/>
      <c r="I180" s="860"/>
      <c r="J180" s="860"/>
      <c r="K180" s="837"/>
      <c r="L180" s="900">
        <f>DatiGen_IntervSanOnerosaForfImp</f>
        <v>0</v>
      </c>
      <c r="M180" s="900"/>
      <c r="N180" s="158"/>
      <c r="O180" s="17"/>
    </row>
    <row r="181" spans="1:15" s="12" customFormat="1" ht="12.75" customHeight="1" x14ac:dyDescent="0.2">
      <c r="A181" s="21"/>
      <c r="B181" s="834" t="s">
        <v>227</v>
      </c>
      <c r="C181" s="861"/>
      <c r="D181" s="861"/>
      <c r="E181" s="861"/>
      <c r="F181" s="861"/>
      <c r="G181" s="861"/>
      <c r="H181" s="861"/>
      <c r="I181" s="861"/>
      <c r="J181" s="861"/>
      <c r="K181" s="835"/>
      <c r="L181" s="279" t="str">
        <f>IF(OnUrb_AltriCosti_ValoreMaggCostoCAreeAgr&gt;0,IF(Parametri_MaggiorazioneAreeAgric&gt;0,Parametri_MaggiorazioneAreeAgric&amp;"%","Nessuna"),"")</f>
        <v/>
      </c>
      <c r="M181" s="79">
        <f>IF(Ou_NuovaEd_AreaAgricola="Sì",IF(Ou_NuovaEd_AreaAgricolaPerc&gt;0,(ImportoOneriUrbanizzazione_Riferimento_hide*Parametri_MaggiorazioneAreeAgric/100)*Ou_NuovaEd_AreaAgricolaPerc,(ImportoOneriUrbanizzazione_Riferimento_hide*Parametri_MaggiorazioneAreeAgric/100)),0)</f>
        <v>0</v>
      </c>
      <c r="N181" s="158"/>
      <c r="O181" s="17"/>
    </row>
    <row r="182" spans="1:15" s="12" customFormat="1" ht="12.75" customHeight="1" x14ac:dyDescent="0.2">
      <c r="A182" s="21"/>
      <c r="B182" s="834" t="s">
        <v>228</v>
      </c>
      <c r="C182" s="861"/>
      <c r="D182" s="861"/>
      <c r="E182" s="861"/>
      <c r="F182" s="861"/>
      <c r="G182" s="861"/>
      <c r="H182" s="861"/>
      <c r="I182" s="861"/>
      <c r="J182" s="861"/>
      <c r="K182" s="835"/>
      <c r="L182" s="279" t="str">
        <f>IF(CC_AltriCosti_ValoreMaggCostoCAreeAgr&gt;0,IF(Parametri_MaggiorazioneAreeAgric&gt;0,Parametri_MaggiorazioneAreeAgric&amp;"%","Nessuna"),"")</f>
        <v/>
      </c>
      <c r="M182" s="79">
        <f>IF(Ou_NuovaEd_AreaAgricola="Sì",IF(Ou_NuovaEd_AreaAgricolaPerc&gt;0,(ImportoCostoCostruzione_conAltriCosti*Parametri_MaggiorazioneAreeAgric/100)*Ou_NuovaEd_AreaAgricolaPerc,(ImportoCostoCostruzione_conAltriCosti*Parametri_MaggiorazioneAreeAgric/100)),0)</f>
        <v>0</v>
      </c>
      <c r="N182" s="158"/>
      <c r="O182" s="17"/>
    </row>
    <row r="183" spans="1:15" s="12" customFormat="1" ht="12.75" customHeight="1" thickBot="1" x14ac:dyDescent="0.25">
      <c r="A183" s="21"/>
      <c r="B183" s="834" t="s">
        <v>352</v>
      </c>
      <c r="C183" s="861"/>
      <c r="D183" s="861"/>
      <c r="E183" s="861"/>
      <c r="F183" s="861"/>
      <c r="G183" s="861"/>
      <c r="H183" s="861"/>
      <c r="I183" s="861"/>
      <c r="J183" s="861"/>
      <c r="K183" s="835"/>
      <c r="L183" s="900">
        <f>IF(ISERROR(MATCH(ZonaMonetizzazioneAreeStand,ElencoZoneMonetizzazione))=TRUE,0,ZonaMonetizzazioneAreeStand_Valore*Monetizz_Aree_sup)</f>
        <v>0</v>
      </c>
      <c r="M183" s="900"/>
      <c r="N183" s="158"/>
      <c r="O183" s="121">
        <f>IF(ZonaMonetizzazioneAreeStand&lt;&gt;"",(VLOOKUP(ZonaMonetizzazioneAreeStand,Parametri_ElencoZoneMatrice,4,FALSE)),"")</f>
        <v>0</v>
      </c>
    </row>
    <row r="184" spans="1:15" s="12" customFormat="1" ht="12.75" hidden="1" customHeight="1" thickBot="1" x14ac:dyDescent="0.25">
      <c r="A184" s="21"/>
      <c r="B184" s="852" t="s">
        <v>124</v>
      </c>
      <c r="C184" s="853"/>
      <c r="D184" s="853"/>
      <c r="E184" s="853"/>
      <c r="F184" s="853"/>
      <c r="G184" s="853"/>
      <c r="H184" s="853"/>
      <c r="I184" s="853"/>
      <c r="J184" s="853"/>
      <c r="K184" s="854"/>
      <c r="L184" s="901">
        <f>IF(ISERROR(MATCH(ZonaMonetizzazioneParcheg,ElencoZoneMonetizzazione_Parcheggi))=TRUE,0,ZonaMonetizzazioneParcheggi_Valore*Monetizz_Parcheggi_Sup)</f>
        <v>0</v>
      </c>
      <c r="M184" s="901"/>
      <c r="N184" s="249"/>
      <c r="O184" s="121">
        <f>IF(ZonaMonetizzazioneParcheg&lt;&gt;"",(VLOOKUP(ZonaMonetizzazioneParcheg,Parametri_ElencoZoneParcheggiMatrice,4,FALSE)),"")</f>
        <v>0</v>
      </c>
    </row>
    <row r="185" spans="1:15" s="12" customFormat="1" ht="15" customHeight="1" x14ac:dyDescent="0.2">
      <c r="A185" s="21"/>
      <c r="B185" s="911" t="s">
        <v>105</v>
      </c>
      <c r="C185" s="911"/>
      <c r="D185" s="911"/>
      <c r="E185" s="911"/>
      <c r="F185" s="911"/>
      <c r="G185" s="911"/>
      <c r="H185" s="911"/>
      <c r="I185" s="911"/>
      <c r="J185" s="911"/>
      <c r="K185" s="912"/>
      <c r="L185" s="902">
        <f>ROUND(CC_AltriCosti_Sanzione+OnUrb_AltriCosti_ValoreMaggCostoCAreeAgr+CC_AltriCosti_ValoreMaggCostoCAreeAgr+Co_MonAreeStand+Co_MonAreeParc,2)</f>
        <v>0</v>
      </c>
      <c r="M185" s="902"/>
      <c r="N185" s="250"/>
      <c r="O185" s="17"/>
    </row>
    <row r="186" spans="1:15" s="7" customFormat="1" ht="16.5" customHeight="1" x14ac:dyDescent="0.2">
      <c r="A186" s="21"/>
      <c r="B186" s="22"/>
      <c r="C186" s="23"/>
      <c r="D186" s="24"/>
      <c r="E186" s="25"/>
      <c r="F186" s="24"/>
      <c r="G186" s="22"/>
      <c r="H186" s="22"/>
      <c r="I186" s="22"/>
      <c r="J186" s="22"/>
      <c r="K186" s="22"/>
      <c r="L186" s="22"/>
      <c r="M186" s="190"/>
      <c r="N186" s="21"/>
      <c r="O186" s="2"/>
    </row>
    <row r="187" spans="1:15" s="7" customFormat="1" ht="15" customHeight="1" x14ac:dyDescent="0.2">
      <c r="A187" s="29"/>
      <c r="B187" s="921" t="s">
        <v>202</v>
      </c>
      <c r="C187" s="921"/>
      <c r="D187" s="921"/>
      <c r="E187" s="921"/>
      <c r="F187" s="921"/>
      <c r="G187" s="921"/>
      <c r="H187" s="921"/>
      <c r="I187" s="921"/>
      <c r="J187" s="921"/>
      <c r="K187" s="922"/>
      <c r="L187" s="880">
        <f ca="1">ROUND(ImportoOneriUrbanizzazione_Riferimento+ImportoCostoCostruzione_conAltriCosti+ImportoAltriCosti,2)</f>
        <v>0</v>
      </c>
      <c r="M187" s="881"/>
      <c r="N187" s="253"/>
      <c r="O187" s="2"/>
    </row>
    <row r="188" spans="1:15" s="119" customFormat="1" ht="15" customHeight="1" x14ac:dyDescent="0.2">
      <c r="A188" s="29"/>
      <c r="B188" s="310"/>
      <c r="C188" s="310"/>
      <c r="D188" s="310"/>
      <c r="E188" s="310"/>
      <c r="F188" s="310"/>
      <c r="G188" s="310"/>
      <c r="H188" s="310"/>
      <c r="I188" s="310"/>
      <c r="J188" s="310"/>
      <c r="K188" s="310"/>
      <c r="L188"/>
      <c r="M188"/>
      <c r="N188" s="108"/>
      <c r="O188" s="2"/>
    </row>
    <row r="189" spans="1:15" hidden="1" x14ac:dyDescent="0.2"/>
    <row r="190" spans="1:15" hidden="1" x14ac:dyDescent="0.2"/>
    <row r="191" spans="1:15" hidden="1" x14ac:dyDescent="0.2"/>
    <row r="192" spans="1:15"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x14ac:dyDescent="0.2"/>
    <row r="230" x14ac:dyDescent="0.2"/>
    <row r="231" x14ac:dyDescent="0.2"/>
    <row r="232" x14ac:dyDescent="0.2"/>
    <row r="233" x14ac:dyDescent="0.2"/>
  </sheetData>
  <sheetProtection password="83CC" sheet="1" objects="1" scenarios="1" formatColumns="0" formatRows="0" insertRows="0"/>
  <mergeCells count="295">
    <mergeCell ref="B161:B162"/>
    <mergeCell ref="B156:B157"/>
    <mergeCell ref="G161:K162"/>
    <mergeCell ref="L156:M157"/>
    <mergeCell ref="L161:M162"/>
    <mergeCell ref="B163:C163"/>
    <mergeCell ref="D163:K163"/>
    <mergeCell ref="B164:C164"/>
    <mergeCell ref="D164:K164"/>
    <mergeCell ref="B132:C132"/>
    <mergeCell ref="D132:F132"/>
    <mergeCell ref="H132:J132"/>
    <mergeCell ref="B133:C133"/>
    <mergeCell ref="B134:C134"/>
    <mergeCell ref="B135:C135"/>
    <mergeCell ref="B62:K62"/>
    <mergeCell ref="H88:J88"/>
    <mergeCell ref="D92:F92"/>
    <mergeCell ref="B113:C113"/>
    <mergeCell ref="B114:C114"/>
    <mergeCell ref="B100:C100"/>
    <mergeCell ref="B101:C101"/>
    <mergeCell ref="B102:C102"/>
    <mergeCell ref="B103:C103"/>
    <mergeCell ref="B104:C104"/>
    <mergeCell ref="B105:C105"/>
    <mergeCell ref="B94:C94"/>
    <mergeCell ref="B95:C95"/>
    <mergeCell ref="B96:C96"/>
    <mergeCell ref="B97:C97"/>
    <mergeCell ref="B98:C98"/>
    <mergeCell ref="B99:C99"/>
    <mergeCell ref="B61:F61"/>
    <mergeCell ref="L62:M62"/>
    <mergeCell ref="B63:K63"/>
    <mergeCell ref="B128:C128"/>
    <mergeCell ref="D128:F128"/>
    <mergeCell ref="H128:J128"/>
    <mergeCell ref="B129:C129"/>
    <mergeCell ref="L58:M58"/>
    <mergeCell ref="B59:C59"/>
    <mergeCell ref="L59:M59"/>
    <mergeCell ref="L67:M67"/>
    <mergeCell ref="B88:C88"/>
    <mergeCell ref="B89:C89"/>
    <mergeCell ref="B90:C90"/>
    <mergeCell ref="B91:C91"/>
    <mergeCell ref="B92:C92"/>
    <mergeCell ref="B93:C93"/>
    <mergeCell ref="B86:C86"/>
    <mergeCell ref="B87:C87"/>
    <mergeCell ref="B72:K72"/>
    <mergeCell ref="B77:K77"/>
    <mergeCell ref="B75:K75"/>
    <mergeCell ref="B78:K78"/>
    <mergeCell ref="D88:F88"/>
    <mergeCell ref="L53:M53"/>
    <mergeCell ref="B54:C54"/>
    <mergeCell ref="B55:C55"/>
    <mergeCell ref="L55:M55"/>
    <mergeCell ref="B56:C56"/>
    <mergeCell ref="D56:F56"/>
    <mergeCell ref="H56:J56"/>
    <mergeCell ref="B57:C57"/>
    <mergeCell ref="L57:M57"/>
    <mergeCell ref="B20:C20"/>
    <mergeCell ref="L187:M187"/>
    <mergeCell ref="B187:K187"/>
    <mergeCell ref="L3:M3"/>
    <mergeCell ref="L50:M50"/>
    <mergeCell ref="L51:M51"/>
    <mergeCell ref="L54:M54"/>
    <mergeCell ref="L69:M69"/>
    <mergeCell ref="L41:M41"/>
    <mergeCell ref="L37:M37"/>
    <mergeCell ref="L38:M38"/>
    <mergeCell ref="L7:M7"/>
    <mergeCell ref="L9:M9"/>
    <mergeCell ref="L10:M10"/>
    <mergeCell ref="L11:M11"/>
    <mergeCell ref="L13:M13"/>
    <mergeCell ref="L21:M21"/>
    <mergeCell ref="L80:M80"/>
    <mergeCell ref="L42:M42"/>
    <mergeCell ref="L43:M43"/>
    <mergeCell ref="L45:M45"/>
    <mergeCell ref="L46:M46"/>
    <mergeCell ref="L47:M47"/>
    <mergeCell ref="L49:M49"/>
    <mergeCell ref="L33:M33"/>
    <mergeCell ref="L34:M34"/>
    <mergeCell ref="L35:M35"/>
    <mergeCell ref="L39:M39"/>
    <mergeCell ref="D36:F36"/>
    <mergeCell ref="B28:C28"/>
    <mergeCell ref="B29:C29"/>
    <mergeCell ref="B30:C30"/>
    <mergeCell ref="B31:C31"/>
    <mergeCell ref="L30:M30"/>
    <mergeCell ref="H32:J32"/>
    <mergeCell ref="L15:M15"/>
    <mergeCell ref="L17:M17"/>
    <mergeCell ref="L18:M18"/>
    <mergeCell ref="L14:M14"/>
    <mergeCell ref="L22:M22"/>
    <mergeCell ref="L26:M26"/>
    <mergeCell ref="L23:M23"/>
    <mergeCell ref="L25:M25"/>
    <mergeCell ref="L27:M27"/>
    <mergeCell ref="H12:J12"/>
    <mergeCell ref="B154:B155"/>
    <mergeCell ref="D12:F12"/>
    <mergeCell ref="D44:F44"/>
    <mergeCell ref="H44:J44"/>
    <mergeCell ref="D48:F48"/>
    <mergeCell ref="H48:J48"/>
    <mergeCell ref="H92:J92"/>
    <mergeCell ref="H84:J84"/>
    <mergeCell ref="D40:F40"/>
    <mergeCell ref="H96:J96"/>
    <mergeCell ref="H153:J153"/>
    <mergeCell ref="D124:F124"/>
    <mergeCell ref="H124:J124"/>
    <mergeCell ref="C136:F136"/>
    <mergeCell ref="G136:J136"/>
    <mergeCell ref="B127:C127"/>
    <mergeCell ref="B145:K145"/>
    <mergeCell ref="H100:J100"/>
    <mergeCell ref="H112:J112"/>
    <mergeCell ref="D32:F32"/>
    <mergeCell ref="D100:F100"/>
    <mergeCell ref="D96:F96"/>
    <mergeCell ref="H40:J40"/>
    <mergeCell ref="D8:F8"/>
    <mergeCell ref="D120:F120"/>
    <mergeCell ref="H120:J120"/>
    <mergeCell ref="B13:C13"/>
    <mergeCell ref="B14:C14"/>
    <mergeCell ref="B15:C15"/>
    <mergeCell ref="B17:C17"/>
    <mergeCell ref="B69:K69"/>
    <mergeCell ref="B33:C33"/>
    <mergeCell ref="B18:C18"/>
    <mergeCell ref="D16:F16"/>
    <mergeCell ref="D24:F24"/>
    <mergeCell ref="D20:F20"/>
    <mergeCell ref="H8:J8"/>
    <mergeCell ref="H24:J24"/>
    <mergeCell ref="B26:C26"/>
    <mergeCell ref="B27:C27"/>
    <mergeCell ref="B22:C22"/>
    <mergeCell ref="B23:C23"/>
    <mergeCell ref="B25:C25"/>
    <mergeCell ref="B43:C43"/>
    <mergeCell ref="B19:C19"/>
    <mergeCell ref="B21:C21"/>
    <mergeCell ref="B44:C44"/>
    <mergeCell ref="B2:N2"/>
    <mergeCell ref="H104:J104"/>
    <mergeCell ref="H108:J108"/>
    <mergeCell ref="D108:F108"/>
    <mergeCell ref="D116:F116"/>
    <mergeCell ref="H116:J116"/>
    <mergeCell ref="D104:F104"/>
    <mergeCell ref="D112:F112"/>
    <mergeCell ref="H28:J28"/>
    <mergeCell ref="B82:N82"/>
    <mergeCell ref="L29:M29"/>
    <mergeCell ref="D3:F3"/>
    <mergeCell ref="H3:J3"/>
    <mergeCell ref="D4:F4"/>
    <mergeCell ref="H16:J16"/>
    <mergeCell ref="H20:J20"/>
    <mergeCell ref="H4:J4"/>
    <mergeCell ref="D28:F28"/>
    <mergeCell ref="L19:M19"/>
    <mergeCell ref="L31:M31"/>
    <mergeCell ref="L5:M5"/>
    <mergeCell ref="L74:M74"/>
    <mergeCell ref="L78:M78"/>
    <mergeCell ref="L6:M6"/>
    <mergeCell ref="L184:M184"/>
    <mergeCell ref="L185:M185"/>
    <mergeCell ref="L175:M175"/>
    <mergeCell ref="L180:M180"/>
    <mergeCell ref="L183:M183"/>
    <mergeCell ref="L167:M167"/>
    <mergeCell ref="L170:M170"/>
    <mergeCell ref="B169:N169"/>
    <mergeCell ref="B170:K170"/>
    <mergeCell ref="L177:M177"/>
    <mergeCell ref="B185:K185"/>
    <mergeCell ref="B165:K165"/>
    <mergeCell ref="B175:K175"/>
    <mergeCell ref="B181:K181"/>
    <mergeCell ref="B182:K182"/>
    <mergeCell ref="B183:K183"/>
    <mergeCell ref="B172:K172"/>
    <mergeCell ref="B171:K171"/>
    <mergeCell ref="B174:K174"/>
    <mergeCell ref="L171:M171"/>
    <mergeCell ref="B166:K166"/>
    <mergeCell ref="B167:K167"/>
    <mergeCell ref="B4:C4"/>
    <mergeCell ref="B8:C8"/>
    <mergeCell ref="B12:C12"/>
    <mergeCell ref="B16:C16"/>
    <mergeCell ref="B5:C5"/>
    <mergeCell ref="B6:C6"/>
    <mergeCell ref="B7:C7"/>
    <mergeCell ref="B9:C9"/>
    <mergeCell ref="B10:C10"/>
    <mergeCell ref="B11:C11"/>
    <mergeCell ref="B45:C45"/>
    <mergeCell ref="B46:C46"/>
    <mergeCell ref="B47:C47"/>
    <mergeCell ref="B48:C48"/>
    <mergeCell ref="B32:C32"/>
    <mergeCell ref="B34:C34"/>
    <mergeCell ref="B35:C35"/>
    <mergeCell ref="B40:C40"/>
    <mergeCell ref="B41:C41"/>
    <mergeCell ref="B42:C42"/>
    <mergeCell ref="B49:C49"/>
    <mergeCell ref="B50:C50"/>
    <mergeCell ref="B51:C51"/>
    <mergeCell ref="B84:C84"/>
    <mergeCell ref="B85:C85"/>
    <mergeCell ref="B64:K64"/>
    <mergeCell ref="B71:K71"/>
    <mergeCell ref="B66:K66"/>
    <mergeCell ref="B73:K73"/>
    <mergeCell ref="B68:F68"/>
    <mergeCell ref="H83:J83"/>
    <mergeCell ref="D83:F83"/>
    <mergeCell ref="D84:F84"/>
    <mergeCell ref="B67:K67"/>
    <mergeCell ref="B52:C52"/>
    <mergeCell ref="D52:F52"/>
    <mergeCell ref="H52:J52"/>
    <mergeCell ref="B53:C53"/>
    <mergeCell ref="B58:C58"/>
    <mergeCell ref="B76:K76"/>
    <mergeCell ref="B80:K80"/>
    <mergeCell ref="B74:K74"/>
    <mergeCell ref="B70:K70"/>
    <mergeCell ref="B65:K65"/>
    <mergeCell ref="D153:F153"/>
    <mergeCell ref="B115:C115"/>
    <mergeCell ref="B116:C116"/>
    <mergeCell ref="B141:K141"/>
    <mergeCell ref="B118:C118"/>
    <mergeCell ref="L143:M143"/>
    <mergeCell ref="D138:E138"/>
    <mergeCell ref="D139:E139"/>
    <mergeCell ref="H137:I137"/>
    <mergeCell ref="B142:K142"/>
    <mergeCell ref="B143:K143"/>
    <mergeCell ref="H138:I138"/>
    <mergeCell ref="H139:I139"/>
    <mergeCell ref="D137:E137"/>
    <mergeCell ref="L148:M148"/>
    <mergeCell ref="L145:M145"/>
    <mergeCell ref="L141:M141"/>
    <mergeCell ref="L142:M142"/>
    <mergeCell ref="B122:C122"/>
    <mergeCell ref="B123:C123"/>
    <mergeCell ref="B146:K146"/>
    <mergeCell ref="L146:M146"/>
    <mergeCell ref="B130:C130"/>
    <mergeCell ref="B131:C131"/>
    <mergeCell ref="O5:O6"/>
    <mergeCell ref="B184:K184"/>
    <mergeCell ref="B177:K177"/>
    <mergeCell ref="B179:N179"/>
    <mergeCell ref="B180:K180"/>
    <mergeCell ref="B173:K173"/>
    <mergeCell ref="B119:C119"/>
    <mergeCell ref="B120:C120"/>
    <mergeCell ref="B121:C121"/>
    <mergeCell ref="B124:C124"/>
    <mergeCell ref="B125:C125"/>
    <mergeCell ref="B126:C126"/>
    <mergeCell ref="B106:C106"/>
    <mergeCell ref="B107:C107"/>
    <mergeCell ref="B108:C108"/>
    <mergeCell ref="B109:C109"/>
    <mergeCell ref="B110:C110"/>
    <mergeCell ref="B117:C117"/>
    <mergeCell ref="B111:C111"/>
    <mergeCell ref="B112:C112"/>
    <mergeCell ref="B148:K148"/>
    <mergeCell ref="B150:N150"/>
    <mergeCell ref="B152:N152"/>
    <mergeCell ref="L154:M155"/>
  </mergeCells>
  <phoneticPr fontId="4" type="noConversion"/>
  <conditionalFormatting sqref="D12:F12 D32:F32 D8:F8 H4:K4 H16:K16 D20:F20 D24:F24 D28:F28 D4:F4 H12:K12 D16:F16 D36:F36 H20:K20 H24:K24 H28:K28 H32:K32 D92:F92 D112:F112 D88:F88 D96:F96 D100:F100 D104:F104 D108:F108 D84:F84">
    <cfRule type="cellIs" dxfId="270" priority="34" stopIfTrue="1" operator="greaterThan">
      <formula>0</formula>
    </cfRule>
  </conditionalFormatting>
  <conditionalFormatting sqref="H8:K8">
    <cfRule type="cellIs" dxfId="269" priority="35" stopIfTrue="1" operator="notEqual">
      <formula>0</formula>
    </cfRule>
  </conditionalFormatting>
  <conditionalFormatting sqref="H88:K88 H96:K96 H84:K84">
    <cfRule type="cellIs" dxfId="268" priority="26" stopIfTrue="1" operator="greaterThan">
      <formula>0</formula>
    </cfRule>
  </conditionalFormatting>
  <conditionalFormatting sqref="H92:K92">
    <cfRule type="cellIs" dxfId="267" priority="25" stopIfTrue="1" operator="greaterThan">
      <formula>0</formula>
    </cfRule>
  </conditionalFormatting>
  <conditionalFormatting sqref="H100:K100">
    <cfRule type="cellIs" dxfId="266" priority="24" stopIfTrue="1" operator="greaterThan">
      <formula>0</formula>
    </cfRule>
  </conditionalFormatting>
  <conditionalFormatting sqref="H104:K104">
    <cfRule type="cellIs" dxfId="265" priority="23" stopIfTrue="1" operator="greaterThan">
      <formula>0</formula>
    </cfRule>
  </conditionalFormatting>
  <conditionalFormatting sqref="H108:K108">
    <cfRule type="cellIs" dxfId="264" priority="22" stopIfTrue="1" operator="greaterThan">
      <formula>0</formula>
    </cfRule>
  </conditionalFormatting>
  <conditionalFormatting sqref="H112:K112">
    <cfRule type="cellIs" dxfId="263" priority="21" stopIfTrue="1" operator="greaterThan">
      <formula>0</formula>
    </cfRule>
  </conditionalFormatting>
  <conditionalFormatting sqref="D48:F48 H48:K48">
    <cfRule type="cellIs" dxfId="262" priority="13" stopIfTrue="1" operator="greaterThan">
      <formula>0</formula>
    </cfRule>
  </conditionalFormatting>
  <conditionalFormatting sqref="D40:F40 H40:K40">
    <cfRule type="cellIs" dxfId="261" priority="15" stopIfTrue="1" operator="greaterThan">
      <formula>0</formula>
    </cfRule>
  </conditionalFormatting>
  <conditionalFormatting sqref="D44:F44 H44:K44">
    <cfRule type="cellIs" dxfId="260" priority="14" stopIfTrue="1" operator="greaterThan">
      <formula>0</formula>
    </cfRule>
  </conditionalFormatting>
  <conditionalFormatting sqref="D116:F116">
    <cfRule type="cellIs" dxfId="259" priority="12" stopIfTrue="1" operator="greaterThan">
      <formula>0</formula>
    </cfRule>
  </conditionalFormatting>
  <conditionalFormatting sqref="H116:K116">
    <cfRule type="cellIs" dxfId="258" priority="11" stopIfTrue="1" operator="greaterThan">
      <formula>0</formula>
    </cfRule>
  </conditionalFormatting>
  <conditionalFormatting sqref="D120:F120">
    <cfRule type="cellIs" dxfId="257" priority="10" stopIfTrue="1" operator="greaterThan">
      <formula>0</formula>
    </cfRule>
  </conditionalFormatting>
  <conditionalFormatting sqref="H120:K120">
    <cfRule type="cellIs" dxfId="256" priority="9" stopIfTrue="1" operator="greaterThan">
      <formula>0</formula>
    </cfRule>
  </conditionalFormatting>
  <conditionalFormatting sqref="D124:F124">
    <cfRule type="cellIs" dxfId="255" priority="8" stopIfTrue="1" operator="greaterThan">
      <formula>0</formula>
    </cfRule>
  </conditionalFormatting>
  <conditionalFormatting sqref="H124:K124">
    <cfRule type="cellIs" dxfId="254" priority="7" stopIfTrue="1" operator="greaterThan">
      <formula>0</formula>
    </cfRule>
  </conditionalFormatting>
  <conditionalFormatting sqref="D52:F52 H52:K52">
    <cfRule type="cellIs" dxfId="253" priority="6" stopIfTrue="1" operator="greaterThan">
      <formula>0</formula>
    </cfRule>
  </conditionalFormatting>
  <conditionalFormatting sqref="D56:F56 H56:K56">
    <cfRule type="cellIs" dxfId="252" priority="5" stopIfTrue="1" operator="greaterThan">
      <formula>0</formula>
    </cfRule>
  </conditionalFormatting>
  <conditionalFormatting sqref="D128:F128">
    <cfRule type="cellIs" dxfId="251" priority="4" stopIfTrue="1" operator="greaterThan">
      <formula>0</formula>
    </cfRule>
  </conditionalFormatting>
  <conditionalFormatting sqref="H128:K128">
    <cfRule type="cellIs" dxfId="250" priority="3" stopIfTrue="1" operator="greaterThan">
      <formula>0</formula>
    </cfRule>
  </conditionalFormatting>
  <conditionalFormatting sqref="D132:F132">
    <cfRule type="cellIs" dxfId="249" priority="2" stopIfTrue="1" operator="greaterThan">
      <formula>0</formula>
    </cfRule>
  </conditionalFormatting>
  <conditionalFormatting sqref="H132:K132">
    <cfRule type="cellIs" dxfId="248" priority="1" stopIfTrue="1" operator="greaterThan">
      <formula>0</formula>
    </cfRule>
  </conditionalFormatting>
  <hyperlinks>
    <hyperlink ref="O5:O6" location="'Procedura guidata (Office 2007)'!A1" display="Torna alla procedura guidata!"/>
  </hyperlinks>
  <pageMargins left="0.19685039370078741" right="0.15748031496062992" top="0.27559055118110237" bottom="0.27559055118110237" header="0.27559055118110237" footer="0.23622047244094491"/>
  <pageSetup paperSize="9" scale="6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IU294"/>
  <sheetViews>
    <sheetView workbookViewId="0"/>
  </sheetViews>
  <sheetFormatPr defaultColWidth="0" defaultRowHeight="12.75" zeroHeight="1" x14ac:dyDescent="0.2"/>
  <cols>
    <col min="1" max="1" width="5.7109375" style="26" customWidth="1"/>
    <col min="2" max="2" width="32.28515625" style="2" customWidth="1"/>
    <col min="3" max="3" width="7" style="2" customWidth="1"/>
    <col min="4" max="4" width="16.7109375" style="27" customWidth="1"/>
    <col min="5" max="5" width="2.28515625" style="2" customWidth="1"/>
    <col min="6" max="6" width="16.7109375" style="2" customWidth="1"/>
    <col min="7" max="7" width="10.28515625" style="2" customWidth="1"/>
    <col min="8" max="8" width="16.7109375" style="2" customWidth="1"/>
    <col min="9" max="9" width="2.28515625" style="2" customWidth="1"/>
    <col min="10" max="10" width="16.7109375" style="2" customWidth="1"/>
    <col min="11" max="11" width="2.28515625" style="2" customWidth="1"/>
    <col min="12" max="12" width="8.7109375" style="2" customWidth="1"/>
    <col min="13" max="13" width="12.7109375" style="2" customWidth="1"/>
    <col min="14" max="14" width="2.28515625" style="2" customWidth="1"/>
    <col min="15" max="15" width="5.7109375" style="2" customWidth="1"/>
    <col min="16" max="16" width="6.7109375" style="2" hidden="1" customWidth="1"/>
    <col min="17" max="254" width="9.140625" style="119" hidden="1" customWidth="1"/>
    <col min="255" max="255" width="9.5703125" style="119" hidden="1" customWidth="1"/>
    <col min="256" max="16384" width="9.140625" style="119" hidden="1"/>
  </cols>
  <sheetData>
    <row r="1" spans="1:15" s="2" customFormat="1" ht="12.75" customHeight="1" thickBot="1" x14ac:dyDescent="0.25">
      <c r="A1" s="26"/>
      <c r="B1" s="44"/>
      <c r="C1" s="30"/>
      <c r="D1" s="30"/>
      <c r="E1" s="30"/>
      <c r="F1" s="30"/>
      <c r="G1" s="30"/>
      <c r="H1" s="30"/>
      <c r="I1" s="30"/>
      <c r="J1" s="30"/>
      <c r="K1" s="30"/>
      <c r="L1" s="26"/>
      <c r="M1" s="31"/>
      <c r="N1" s="31"/>
    </row>
    <row r="2" spans="1:15" s="10" customFormat="1" ht="15" customHeight="1" x14ac:dyDescent="0.25">
      <c r="A2" s="32"/>
      <c r="B2" s="857" t="s">
        <v>221</v>
      </c>
      <c r="C2" s="858"/>
      <c r="D2" s="858"/>
      <c r="E2" s="858"/>
      <c r="F2" s="858"/>
      <c r="G2" s="858"/>
      <c r="H2" s="858"/>
      <c r="I2" s="858"/>
      <c r="J2" s="858"/>
      <c r="K2" s="858"/>
      <c r="L2" s="858"/>
      <c r="M2" s="858"/>
      <c r="N2" s="859"/>
      <c r="O2" s="15"/>
    </row>
    <row r="3" spans="1:15" s="11" customFormat="1" ht="15" customHeight="1" x14ac:dyDescent="0.25">
      <c r="A3" s="28"/>
      <c r="B3" s="185"/>
      <c r="C3" s="186"/>
      <c r="D3" s="916" t="s">
        <v>5</v>
      </c>
      <c r="E3" s="916"/>
      <c r="F3" s="916"/>
      <c r="G3" s="187"/>
      <c r="H3" s="916" t="s">
        <v>0</v>
      </c>
      <c r="I3" s="916"/>
      <c r="J3" s="916"/>
      <c r="K3" s="575"/>
      <c r="L3" s="923" t="s">
        <v>105</v>
      </c>
      <c r="M3" s="923"/>
      <c r="N3" s="189"/>
      <c r="O3" s="16"/>
    </row>
    <row r="4" spans="1:15" s="326" customFormat="1" ht="20.100000000000001" customHeight="1" x14ac:dyDescent="0.2">
      <c r="A4" s="318"/>
      <c r="B4" s="319" t="str">
        <f>Parametri_DestUsoPersonalizzazione1 &amp; IF(EdiliziaConvenzionata="No",""," edilizia conv.")</f>
        <v>Residenziale</v>
      </c>
      <c r="C4" s="320"/>
      <c r="D4" s="887">
        <f>Ou_Cost_Res_NuovaEdif</f>
        <v>0</v>
      </c>
      <c r="E4" s="888"/>
      <c r="F4" s="888"/>
      <c r="G4" s="321"/>
      <c r="H4" s="888">
        <f>Ou_Rist_Res</f>
        <v>0</v>
      </c>
      <c r="I4" s="888"/>
      <c r="J4" s="888"/>
      <c r="K4" s="322"/>
      <c r="L4" s="323"/>
      <c r="M4" s="323"/>
      <c r="N4" s="324"/>
      <c r="O4" s="325"/>
    </row>
    <row r="5" spans="1:15" s="12" customFormat="1" ht="12.75" customHeight="1" x14ac:dyDescent="0.2">
      <c r="A5" s="21"/>
      <c r="B5" s="128"/>
      <c r="C5" s="131" t="s">
        <v>82</v>
      </c>
      <c r="D5" s="177">
        <f>IF(ISERROR(MATCH(ZonaTerritoriale,ElencoZone,0))=TRUE,0,INDEX(MatriceParametri,MATCH(ZonaTerritoriale,ElencoZone,0),IF(DatiGen_ResidenzialeClasseA="No",1,3)))</f>
        <v>7.36</v>
      </c>
      <c r="E5" s="129"/>
      <c r="F5" s="166">
        <f>PRODUCT(D4,D5)</f>
        <v>0</v>
      </c>
      <c r="G5" s="167"/>
      <c r="H5" s="177">
        <f>IF(ISERROR(MATCH(ZonaTerritoriale,ElencoZone,0))=TRUE,0,INDEX(MatriceParametri,MATCH(ZonaTerritoriale,ElencoZone,0),IF(DatiGen_ResidenzialeClasseA="No",2,4)))</f>
        <v>4.91</v>
      </c>
      <c r="I5" s="129"/>
      <c r="J5" s="166">
        <f>PRODUCT(H4,H5)</f>
        <v>0</v>
      </c>
      <c r="K5" s="331"/>
      <c r="L5" s="875">
        <f>SUM(F5,J5)</f>
        <v>0</v>
      </c>
      <c r="M5" s="876"/>
      <c r="N5" s="127"/>
      <c r="O5" s="17"/>
    </row>
    <row r="6" spans="1:15" s="12" customFormat="1" ht="12.75" customHeight="1" x14ac:dyDescent="0.2">
      <c r="A6" s="21"/>
      <c r="B6" s="130"/>
      <c r="C6" s="131" t="s">
        <v>83</v>
      </c>
      <c r="D6" s="178">
        <f>IF(ISERROR(MATCH(ZonaTerritoriale,ElencoZone,0))=TRUE,0,INDEX(MatriceParametri,MATCH(ZonaTerritoriale,ElencoZone,0)+1,IF(DatiGen_ResidenzialeClasseA="No",1,3)))</f>
        <v>17.489999999999998</v>
      </c>
      <c r="E6" s="129"/>
      <c r="F6" s="165">
        <f>PRODUCT(D4,D6)</f>
        <v>0</v>
      </c>
      <c r="G6" s="22"/>
      <c r="H6" s="178">
        <f>IF(ISERROR(MATCH(ZonaTerritoriale,ElencoZone,0))=TRUE,0,INDEX(MatriceParametri,MATCH(ZonaTerritoriale,ElencoZone,0)+1,IF(DatiGen_ResidenzialeClasseA="No",2,4)))</f>
        <v>7.78</v>
      </c>
      <c r="I6" s="129"/>
      <c r="J6" s="165">
        <f>PRODUCT(H4,H6)</f>
        <v>0</v>
      </c>
      <c r="K6" s="145"/>
      <c r="L6" s="875">
        <f>SUM(F6,J6)</f>
        <v>0</v>
      </c>
      <c r="M6" s="876"/>
      <c r="N6" s="127"/>
      <c r="O6" s="17"/>
    </row>
    <row r="7" spans="1:15" s="12" customFormat="1" ht="12.75" customHeight="1" x14ac:dyDescent="0.2">
      <c r="A7" s="21"/>
      <c r="B7" s="128"/>
      <c r="C7" s="131" t="s">
        <v>84</v>
      </c>
      <c r="D7" s="179">
        <f>IF(ISERROR(MATCH(ZonaTerritoriale,ElencoZone,0))=TRUE,0,INDEX(MatriceParametri,MATCH(ZonaTerritoriale,ElencoZone,0)+2,IF(DatiGen_ResidenzialeClasseA="No",1,3)))</f>
        <v>0</v>
      </c>
      <c r="E7" s="129"/>
      <c r="F7" s="165">
        <f>PRODUCT(D4,D7)</f>
        <v>0</v>
      </c>
      <c r="G7" s="22"/>
      <c r="H7" s="179">
        <f>IF(ISERROR(MATCH(ZonaTerritoriale,ElencoZone,0))=TRUE,0,INDEX(MatriceParametri,MATCH(ZonaTerritoriale,ElencoZone,0)+2,IF(DatiGen_ResidenzialeClasseA="No",2,4)))</f>
        <v>0</v>
      </c>
      <c r="I7" s="129"/>
      <c r="J7" s="165">
        <f>PRODUCT(H4,H7)</f>
        <v>0</v>
      </c>
      <c r="K7" s="145"/>
      <c r="L7" s="875">
        <f>SUM(F7,J7)</f>
        <v>0</v>
      </c>
      <c r="M7" s="876"/>
      <c r="N7" s="127"/>
      <c r="O7" s="17"/>
    </row>
    <row r="8" spans="1:15" s="326" customFormat="1" ht="20.100000000000001" customHeight="1" x14ac:dyDescent="0.2">
      <c r="A8" s="318"/>
      <c r="B8" s="319" t="str">
        <f>Parametri_DestUsoPersonalizzazione2</f>
        <v>Artigianato e piccola industria</v>
      </c>
      <c r="C8" s="327"/>
      <c r="D8" s="890">
        <f>Ou_Cost_Comm_NuovaEdif</f>
        <v>0</v>
      </c>
      <c r="E8" s="890"/>
      <c r="F8" s="890"/>
      <c r="G8" s="321"/>
      <c r="H8" s="890">
        <f>Ou_Rist_Com</f>
        <v>0</v>
      </c>
      <c r="I8" s="890"/>
      <c r="J8" s="890"/>
      <c r="K8" s="328"/>
      <c r="L8" s="323"/>
      <c r="M8" s="323"/>
      <c r="N8" s="324"/>
      <c r="O8" s="325"/>
    </row>
    <row r="9" spans="1:15" s="12" customFormat="1" ht="12.75" customHeight="1" x14ac:dyDescent="0.2">
      <c r="A9" s="21"/>
      <c r="B9" s="130"/>
      <c r="C9" s="131" t="s">
        <v>82</v>
      </c>
      <c r="D9" s="180">
        <f>IF(ISERROR(MATCH(ZonaTerritoriale,ElencoZone,0))=TRUE,0,INDEX(MatriceParametri,MATCH(ZonaTerritoriale,ElencoZone,0),5))</f>
        <v>17.41</v>
      </c>
      <c r="E9" s="129"/>
      <c r="F9" s="165">
        <f>PRODUCT(D8,D9)</f>
        <v>0</v>
      </c>
      <c r="G9" s="167"/>
      <c r="H9" s="180">
        <f>IF(ISERROR(MATCH(ZonaTerritoriale,ElencoZone,0))=TRUE,0,INDEX(MatriceParametri,MATCH(ZonaTerritoriale,ElencoZone,0),6))</f>
        <v>8.6999999999999993</v>
      </c>
      <c r="I9" s="129"/>
      <c r="J9" s="165">
        <f>PRODUCT(H8,H9)</f>
        <v>0</v>
      </c>
      <c r="K9" s="331"/>
      <c r="L9" s="875">
        <f>SUM(F9,J9)</f>
        <v>0</v>
      </c>
      <c r="M9" s="876"/>
      <c r="N9" s="127"/>
      <c r="O9" s="17"/>
    </row>
    <row r="10" spans="1:15" s="12" customFormat="1" ht="12.75" customHeight="1" x14ac:dyDescent="0.2">
      <c r="A10" s="21"/>
      <c r="B10" s="128"/>
      <c r="C10" s="131" t="s">
        <v>83</v>
      </c>
      <c r="D10" s="180">
        <f>IF(ISERROR(MATCH(ZonaTerritoriale,ElencoZone,0))=TRUE,0,INDEX(MatriceParametri,MATCH(ZonaTerritoriale,ElencoZone,0)+1,5))</f>
        <v>7.42</v>
      </c>
      <c r="E10" s="129"/>
      <c r="F10" s="165">
        <f>PRODUCT(D8,D10)</f>
        <v>0</v>
      </c>
      <c r="G10" s="22"/>
      <c r="H10" s="180">
        <f>IF(ISERROR(MATCH(ZonaTerritoriale,ElencoZone,0))=TRUE,0,INDEX(MatriceParametri,MATCH(ZonaTerritoriale,ElencoZone,0)+1,6))</f>
        <v>3.72</v>
      </c>
      <c r="I10" s="129"/>
      <c r="J10" s="165">
        <f>PRODUCT(H8,H10)</f>
        <v>0</v>
      </c>
      <c r="K10" s="145"/>
      <c r="L10" s="875">
        <f>SUM(F10,J10)</f>
        <v>0</v>
      </c>
      <c r="M10" s="876"/>
      <c r="N10" s="127"/>
      <c r="O10" s="17"/>
    </row>
    <row r="11" spans="1:15" s="12" customFormat="1" ht="12.75" customHeight="1" x14ac:dyDescent="0.2">
      <c r="A11" s="21"/>
      <c r="B11" s="128"/>
      <c r="C11" s="131" t="s">
        <v>84</v>
      </c>
      <c r="D11" s="180">
        <f>IF(ISERROR(MATCH(ZonaTerritoriale,ElencoZone,0))=TRUE,0,INDEX(MatriceParametri,MATCH(ZonaTerritoriale,ElencoZone,0)+2,5))</f>
        <v>3.57</v>
      </c>
      <c r="E11" s="129"/>
      <c r="F11" s="165">
        <f>PRODUCT(D8,D11)</f>
        <v>0</v>
      </c>
      <c r="G11" s="22"/>
      <c r="H11" s="180">
        <f>IF(ISERROR(MATCH(ZonaTerritoriale,ElencoZone,0))=TRUE,0,INDEX(MatriceParametri,MATCH(ZonaTerritoriale,ElencoZone,0)+2,6))</f>
        <v>1.79</v>
      </c>
      <c r="I11" s="129"/>
      <c r="J11" s="165">
        <f>PRODUCT(H8,H11)</f>
        <v>0</v>
      </c>
      <c r="K11" s="145"/>
      <c r="L11" s="875">
        <f>SUM(F11,J11)</f>
        <v>0</v>
      </c>
      <c r="M11" s="876"/>
      <c r="N11" s="127"/>
      <c r="O11" s="17"/>
    </row>
    <row r="12" spans="1:15" s="326" customFormat="1" ht="20.100000000000001" customHeight="1" x14ac:dyDescent="0.2">
      <c r="A12" s="318"/>
      <c r="B12" s="319" t="str">
        <f>Parametri_DestUsoPersonalizzazione3</f>
        <v>Industria</v>
      </c>
      <c r="C12" s="329"/>
      <c r="D12" s="890">
        <f>Ou_Cost_IndArt_NuovaEdif</f>
        <v>0</v>
      </c>
      <c r="E12" s="890"/>
      <c r="F12" s="890"/>
      <c r="G12" s="321"/>
      <c r="H12" s="890">
        <f>Ou_Rist_IndArt</f>
        <v>0</v>
      </c>
      <c r="I12" s="890"/>
      <c r="J12" s="890"/>
      <c r="K12" s="328"/>
      <c r="L12" s="323"/>
      <c r="M12" s="323"/>
      <c r="N12" s="324"/>
      <c r="O12" s="325"/>
    </row>
    <row r="13" spans="1:15" s="12" customFormat="1" ht="12.75" customHeight="1" x14ac:dyDescent="0.2">
      <c r="A13" s="21"/>
      <c r="B13" s="130"/>
      <c r="C13" s="131" t="s">
        <v>82</v>
      </c>
      <c r="D13" s="180">
        <f>IF(ISERROR(MATCH(ZonaTerritoriale,ElencoZone,0))=TRUE,0,INDEX(MatriceParametri,MATCH(ZonaTerritoriale,ElencoZone,0),7))</f>
        <v>18.75</v>
      </c>
      <c r="E13" s="129"/>
      <c r="F13" s="165">
        <f>PRODUCT(D12,D13)</f>
        <v>0</v>
      </c>
      <c r="G13" s="167"/>
      <c r="H13" s="180">
        <f>IF(ISERROR(MATCH(ZonaTerritoriale,ElencoZone,0))=TRUE,0,INDEX(MatriceParametri,MATCH(ZonaTerritoriale,ElencoZone,0),8))</f>
        <v>9.3800000000000008</v>
      </c>
      <c r="I13" s="129"/>
      <c r="J13" s="165">
        <f>PRODUCT(H12,H13)</f>
        <v>0</v>
      </c>
      <c r="K13" s="331"/>
      <c r="L13" s="875">
        <f>SUM(F13,J13)</f>
        <v>0</v>
      </c>
      <c r="M13" s="876"/>
      <c r="N13" s="127"/>
      <c r="O13" s="17"/>
    </row>
    <row r="14" spans="1:15" s="12" customFormat="1" ht="12.75" customHeight="1" x14ac:dyDescent="0.2">
      <c r="A14" s="21"/>
      <c r="B14" s="128"/>
      <c r="C14" s="131" t="s">
        <v>83</v>
      </c>
      <c r="D14" s="180">
        <f>IF(ISERROR(MATCH(ZonaTerritoriale,ElencoZone,0))=TRUE,0,INDEX(MatriceParametri,MATCH(ZonaTerritoriale,ElencoZone,0)+1,7))</f>
        <v>11.31</v>
      </c>
      <c r="E14" s="129"/>
      <c r="F14" s="165">
        <f>PRODUCT(D12,D14)</f>
        <v>0</v>
      </c>
      <c r="G14" s="22"/>
      <c r="H14" s="180">
        <f>IF(ISERROR(MATCH(ZonaTerritoriale,ElencoZone,0))=TRUE,0,INDEX(MatriceParametri,MATCH(ZonaTerritoriale,ElencoZone,0)+1,8))</f>
        <v>5.66</v>
      </c>
      <c r="I14" s="129"/>
      <c r="J14" s="165">
        <f>PRODUCT(H12,H14)</f>
        <v>0</v>
      </c>
      <c r="K14" s="145"/>
      <c r="L14" s="875">
        <f>SUM(F14,J14)</f>
        <v>0</v>
      </c>
      <c r="M14" s="876"/>
      <c r="N14" s="127"/>
      <c r="O14" s="17"/>
    </row>
    <row r="15" spans="1:15" s="12" customFormat="1" ht="12.75" customHeight="1" x14ac:dyDescent="0.2">
      <c r="A15" s="21"/>
      <c r="B15" s="128"/>
      <c r="C15" s="131" t="s">
        <v>84</v>
      </c>
      <c r="D15" s="180">
        <f>IF(ISERROR(MATCH(ZonaTerritoriale,ElencoZone,0))=TRUE,0,INDEX(MatriceParametri,MATCH(ZonaTerritoriale,ElencoZone,0)+2,7))</f>
        <v>3.84</v>
      </c>
      <c r="E15" s="129"/>
      <c r="F15" s="165">
        <f>PRODUCT(D12,D15)</f>
        <v>0</v>
      </c>
      <c r="G15" s="22"/>
      <c r="H15" s="180">
        <f>IF(ISERROR(MATCH(ZonaTerritoriale,ElencoZone,0))=TRUE,0,INDEX(MatriceParametri,MATCH(ZonaTerritoriale,ElencoZone,0)+2,8))</f>
        <v>1.92</v>
      </c>
      <c r="I15" s="129"/>
      <c r="J15" s="165">
        <f>PRODUCT(H12,H15)</f>
        <v>0</v>
      </c>
      <c r="K15" s="145"/>
      <c r="L15" s="875">
        <f>SUM(F15,J15)</f>
        <v>0</v>
      </c>
      <c r="M15" s="876"/>
      <c r="N15" s="127"/>
      <c r="O15" s="17"/>
    </row>
    <row r="16" spans="1:15" s="326" customFormat="1" ht="20.100000000000001" customHeight="1" x14ac:dyDescent="0.2">
      <c r="A16" s="318"/>
      <c r="B16" s="319" t="str">
        <f>Parametri_DestUsoPersonalizzazione4</f>
        <v>Industriale alberghiera (alberghi)</v>
      </c>
      <c r="C16" s="329"/>
      <c r="D16" s="890">
        <f>Ou_Cost_IndAlb_NuovaEdif</f>
        <v>0</v>
      </c>
      <c r="E16" s="890"/>
      <c r="F16" s="890"/>
      <c r="G16" s="321"/>
      <c r="H16" s="890">
        <f>Ou_Rist_IndAlb</f>
        <v>0</v>
      </c>
      <c r="I16" s="890"/>
      <c r="J16" s="890"/>
      <c r="K16" s="328"/>
      <c r="L16" s="323"/>
      <c r="M16" s="323"/>
      <c r="N16" s="324"/>
      <c r="O16" s="325"/>
    </row>
    <row r="17" spans="1:15" s="12" customFormat="1" ht="12.75" customHeight="1" x14ac:dyDescent="0.2">
      <c r="A17" s="21"/>
      <c r="B17" s="130"/>
      <c r="C17" s="131" t="s">
        <v>82</v>
      </c>
      <c r="D17" s="180">
        <f>IF(ISERROR(MATCH(ZonaTerritoriale,ElencoZone,0))=TRUE,0,INDEX(MatriceParametri,MATCH(ZonaTerritoriale,ElencoZone,0),9))</f>
        <v>27.55</v>
      </c>
      <c r="E17" s="129"/>
      <c r="F17" s="165">
        <f>PRODUCT(D16,D17)</f>
        <v>0</v>
      </c>
      <c r="G17" s="167"/>
      <c r="H17" s="180">
        <f>IF(ISERROR(MATCH(ZonaTerritoriale,ElencoZone,0))=TRUE,0,INDEX(MatriceParametri,MATCH(ZonaTerritoriale,ElencoZone,0),10))</f>
        <v>13.79</v>
      </c>
      <c r="I17" s="129"/>
      <c r="J17" s="165">
        <f>PRODUCT(H16,H17)</f>
        <v>0</v>
      </c>
      <c r="K17" s="331"/>
      <c r="L17" s="875">
        <f>SUM(F17,J17)</f>
        <v>0</v>
      </c>
      <c r="M17" s="876"/>
      <c r="N17" s="127"/>
      <c r="O17" s="17"/>
    </row>
    <row r="18" spans="1:15" s="12" customFormat="1" ht="12.75" customHeight="1" x14ac:dyDescent="0.2">
      <c r="A18" s="21"/>
      <c r="B18" s="128"/>
      <c r="C18" s="131" t="s">
        <v>83</v>
      </c>
      <c r="D18" s="180">
        <f>IF(ISERROR(MATCH(ZonaTerritoriale,ElencoZone,0))=TRUE,0,INDEX(MatriceParametri,MATCH(ZonaTerritoriale,ElencoZone,0)+1,9))</f>
        <v>23.01</v>
      </c>
      <c r="E18" s="129"/>
      <c r="F18" s="165">
        <f>PRODUCT(D16,D18)</f>
        <v>0</v>
      </c>
      <c r="G18" s="22"/>
      <c r="H18" s="180">
        <f>IF(ISERROR(MATCH(ZonaTerritoriale,ElencoZone,0))=TRUE,0,INDEX(MatriceParametri,MATCH(ZonaTerritoriale,ElencoZone,0)+1,10))</f>
        <v>11.51</v>
      </c>
      <c r="I18" s="129"/>
      <c r="J18" s="165">
        <f>PRODUCT(H16,H18)</f>
        <v>0</v>
      </c>
      <c r="K18" s="145"/>
      <c r="L18" s="875">
        <f>SUM(F18,J18)</f>
        <v>0</v>
      </c>
      <c r="M18" s="876"/>
      <c r="N18" s="127"/>
      <c r="O18" s="17"/>
    </row>
    <row r="19" spans="1:15" s="12" customFormat="1" ht="12.75" customHeight="1" x14ac:dyDescent="0.2">
      <c r="A19" s="21"/>
      <c r="B19" s="128"/>
      <c r="C19" s="131" t="s">
        <v>84</v>
      </c>
      <c r="D19" s="180">
        <f>IF(ISERROR(MATCH(ZonaTerritoriale,ElencoZone,0))=TRUE,0,INDEX(MatriceParametri,MATCH(ZonaTerritoriale,ElencoZone,0)+2,9))</f>
        <v>0</v>
      </c>
      <c r="E19" s="129"/>
      <c r="F19" s="165">
        <f>PRODUCT(D16,D19)</f>
        <v>0</v>
      </c>
      <c r="G19" s="22"/>
      <c r="H19" s="180">
        <f>IF(ISERROR(MATCH(ZonaTerritoriale,ElencoZone,0))=TRUE,0,INDEX(MatriceParametri,MATCH(ZonaTerritoriale,ElencoZone,0)+2,10))</f>
        <v>0</v>
      </c>
      <c r="I19" s="129"/>
      <c r="J19" s="165">
        <f>PRODUCT(H16,H19)</f>
        <v>0</v>
      </c>
      <c r="K19" s="145"/>
      <c r="L19" s="875">
        <f>SUM(F19,J19)</f>
        <v>0</v>
      </c>
      <c r="M19" s="876"/>
      <c r="N19" s="127"/>
      <c r="O19" s="17"/>
    </row>
    <row r="20" spans="1:15" s="326" customFormat="1" ht="20.100000000000001" customHeight="1" x14ac:dyDescent="0.2">
      <c r="A20" s="318"/>
      <c r="B20" s="330" t="str">
        <f>Parametri_DestUsoPersonalizzazione5</f>
        <v>Industriale alberghiera (altre tipologie)</v>
      </c>
      <c r="C20" s="329"/>
      <c r="D20" s="890">
        <f>Ou_Cost_Parc_NuovaEdif</f>
        <v>0</v>
      </c>
      <c r="E20" s="890"/>
      <c r="F20" s="890"/>
      <c r="G20" s="323"/>
      <c r="H20" s="890">
        <f>Ou_Rist_ParSil</f>
        <v>0</v>
      </c>
      <c r="I20" s="890"/>
      <c r="J20" s="890"/>
      <c r="K20" s="328"/>
      <c r="L20" s="323"/>
      <c r="M20" s="323"/>
      <c r="N20" s="324"/>
      <c r="O20" s="325"/>
    </row>
    <row r="21" spans="1:15" s="8" customFormat="1" ht="12.75" customHeight="1" x14ac:dyDescent="0.2">
      <c r="A21" s="21"/>
      <c r="B21" s="130"/>
      <c r="C21" s="131" t="s">
        <v>82</v>
      </c>
      <c r="D21" s="177">
        <f>IF(ISERROR(MATCH(ZonaTerritoriale,ElencoZone,0))=TRUE,0,INDEX(MatriceParametri,MATCH(ZonaTerritoriale,ElencoZone,0),11))</f>
        <v>27.55</v>
      </c>
      <c r="E21" s="129"/>
      <c r="F21" s="165">
        <f>PRODUCT(D20,D21)</f>
        <v>0</v>
      </c>
      <c r="G21" s="167"/>
      <c r="H21" s="180">
        <f>IF(ISERROR(MATCH(ZonaTerritoriale,ElencoZone,0))=TRUE,0,INDEX(MatriceParametri,MATCH(ZonaTerritoriale,ElencoZone,0),12))</f>
        <v>13.79</v>
      </c>
      <c r="I21" s="129"/>
      <c r="J21" s="165">
        <f>PRODUCT(H20,H21)</f>
        <v>0</v>
      </c>
      <c r="K21" s="331"/>
      <c r="L21" s="875">
        <f>SUM(F21,J21)</f>
        <v>0</v>
      </c>
      <c r="M21" s="876"/>
      <c r="N21" s="127"/>
      <c r="O21" s="1"/>
    </row>
    <row r="22" spans="1:15" s="8" customFormat="1" ht="12.75" customHeight="1" x14ac:dyDescent="0.2">
      <c r="A22" s="21"/>
      <c r="B22" s="128"/>
      <c r="C22" s="131" t="s">
        <v>83</v>
      </c>
      <c r="D22" s="178">
        <f>IF(ISERROR(MATCH(ZonaTerritoriale,ElencoZone,0))=TRUE,0,INDEX(MatriceParametri,MATCH(ZonaTerritoriale,ElencoZone,0)+1,11))</f>
        <v>25.71</v>
      </c>
      <c r="E22" s="129"/>
      <c r="F22" s="165">
        <f>PRODUCT(D20,D22)</f>
        <v>0</v>
      </c>
      <c r="G22" s="22"/>
      <c r="H22" s="180">
        <f>IF(ISERROR(MATCH(ZonaTerritoriale,ElencoZone,0))=TRUE,0,INDEX(MatriceParametri,MATCH(ZonaTerritoriale,ElencoZone,0)+1,12))</f>
        <v>12.85</v>
      </c>
      <c r="I22" s="129"/>
      <c r="J22" s="165">
        <f>PRODUCT(H20,H22)</f>
        <v>0</v>
      </c>
      <c r="K22" s="145"/>
      <c r="L22" s="875">
        <f>SUM(F22,J22)</f>
        <v>0</v>
      </c>
      <c r="M22" s="876"/>
      <c r="N22" s="127"/>
      <c r="O22" s="1"/>
    </row>
    <row r="23" spans="1:15" s="12" customFormat="1" ht="12.75" customHeight="1" x14ac:dyDescent="0.2">
      <c r="A23" s="21"/>
      <c r="B23" s="128"/>
      <c r="C23" s="131" t="s">
        <v>84</v>
      </c>
      <c r="D23" s="180">
        <f>IF(ISERROR(MATCH(ZonaTerritoriale,ElencoZone,0))=TRUE,0,INDEX(MatriceParametri,MATCH(ZonaTerritoriale,ElencoZone,0)+2,11))</f>
        <v>0</v>
      </c>
      <c r="E23" s="129"/>
      <c r="F23" s="165">
        <f>PRODUCT(D20,D23)</f>
        <v>0</v>
      </c>
      <c r="G23" s="22"/>
      <c r="H23" s="180">
        <f>IF(ISERROR(MATCH(ZonaTerritoriale,ElencoZone,0))=TRUE,0,INDEX(MatriceParametri,MATCH(ZonaTerritoriale,ElencoZone,0)+2,12))</f>
        <v>0</v>
      </c>
      <c r="I23" s="129"/>
      <c r="J23" s="165">
        <f>PRODUCT(H20,H23)</f>
        <v>0</v>
      </c>
      <c r="K23" s="145"/>
      <c r="L23" s="875">
        <f>SUM(F23,J23)</f>
        <v>0</v>
      </c>
      <c r="M23" s="876"/>
      <c r="N23" s="127"/>
      <c r="O23" s="17"/>
    </row>
    <row r="24" spans="1:15" s="326" customFormat="1" ht="20.100000000000001" customHeight="1" x14ac:dyDescent="0.2">
      <c r="A24" s="318"/>
      <c r="B24" s="330" t="str">
        <f>Parametri_DestUsoPersonalizzazione6</f>
        <v>Attività direzionali e commerciali</v>
      </c>
      <c r="C24" s="329"/>
      <c r="D24" s="890">
        <f>Ou_Cost_AttCulSan_NuovaEdif</f>
        <v>0</v>
      </c>
      <c r="E24" s="890"/>
      <c r="F24" s="890"/>
      <c r="G24" s="323"/>
      <c r="H24" s="890">
        <f>Ou_Rist_CultSan</f>
        <v>0</v>
      </c>
      <c r="I24" s="890"/>
      <c r="J24" s="890"/>
      <c r="K24" s="328"/>
      <c r="L24" s="323"/>
      <c r="M24" s="323"/>
      <c r="N24" s="324"/>
      <c r="O24" s="325"/>
    </row>
    <row r="25" spans="1:15" s="8" customFormat="1" ht="12.75" customHeight="1" x14ac:dyDescent="0.2">
      <c r="A25" s="21"/>
      <c r="B25" s="130"/>
      <c r="C25" s="131" t="s">
        <v>82</v>
      </c>
      <c r="D25" s="177">
        <f>IF(ISERROR(MATCH(ZonaTerritoriale,ElencoZone,0))=TRUE,0,INDEX(MatriceParametri,MATCH(ZonaTerritoriale,ElencoZone,0),13))</f>
        <v>71.98</v>
      </c>
      <c r="E25" s="129"/>
      <c r="F25" s="165">
        <f>PRODUCT(D24,D25)</f>
        <v>0</v>
      </c>
      <c r="G25" s="167"/>
      <c r="H25" s="180">
        <f>IF(ISERROR(MATCH(ZonaTerritoriale,ElencoZone,0))=TRUE,0,INDEX(MatriceParametri,MATCH(ZonaTerritoriale,ElencoZone,0),14))</f>
        <v>13.79</v>
      </c>
      <c r="I25" s="129"/>
      <c r="J25" s="165">
        <f>PRODUCT(H24,H25)</f>
        <v>0</v>
      </c>
      <c r="K25" s="331"/>
      <c r="L25" s="875">
        <f>SUM(F25,J25)</f>
        <v>0</v>
      </c>
      <c r="M25" s="876"/>
      <c r="N25" s="127"/>
      <c r="O25" s="1"/>
    </row>
    <row r="26" spans="1:15" s="8" customFormat="1" ht="12.75" customHeight="1" x14ac:dyDescent="0.2">
      <c r="A26" s="21"/>
      <c r="B26" s="128"/>
      <c r="C26" s="131" t="s">
        <v>83</v>
      </c>
      <c r="D26" s="178">
        <f>IF(ISERROR(MATCH(ZonaTerritoriale,ElencoZone,0))=TRUE,0,INDEX(MatriceParametri,MATCH(ZonaTerritoriale,ElencoZone,0)+1,13))</f>
        <v>45.4</v>
      </c>
      <c r="E26" s="129"/>
      <c r="F26" s="165">
        <f>PRODUCT(D24,D26)</f>
        <v>0</v>
      </c>
      <c r="G26" s="22"/>
      <c r="H26" s="180">
        <f>IF(ISERROR(MATCH(ZonaTerritoriale,ElencoZone,0))=TRUE,0,INDEX(MatriceParametri,MATCH(ZonaTerritoriale,ElencoZone,0)+1,14))</f>
        <v>12.85</v>
      </c>
      <c r="I26" s="129"/>
      <c r="J26" s="165">
        <f>PRODUCT(H24,H26)</f>
        <v>0</v>
      </c>
      <c r="K26" s="145"/>
      <c r="L26" s="875">
        <f>SUM(F26,J26)</f>
        <v>0</v>
      </c>
      <c r="M26" s="876"/>
      <c r="N26" s="127"/>
      <c r="O26" s="1"/>
    </row>
    <row r="27" spans="1:15" s="12" customFormat="1" ht="12.75" customHeight="1" x14ac:dyDescent="0.2">
      <c r="A27" s="21"/>
      <c r="B27" s="128"/>
      <c r="C27" s="131" t="s">
        <v>84</v>
      </c>
      <c r="D27" s="180">
        <f>IF(ISERROR(MATCH(ZonaTerritoriale,ElencoZone,0))=TRUE,0,INDEX(MatriceParametri,MATCH(ZonaTerritoriale,ElencoZone,0)+2,13))</f>
        <v>0</v>
      </c>
      <c r="E27" s="129"/>
      <c r="F27" s="165">
        <f>PRODUCT(D24,D27)</f>
        <v>0</v>
      </c>
      <c r="G27" s="22"/>
      <c r="H27" s="180">
        <f>IF(ISERROR(MATCH(ZonaTerritoriale,ElencoZone,0))=TRUE,0,INDEX(MatriceParametri,MATCH(ZonaTerritoriale,ElencoZone,0)+2,14))</f>
        <v>0</v>
      </c>
      <c r="I27" s="129"/>
      <c r="J27" s="165">
        <f>PRODUCT(H24,H27)</f>
        <v>0</v>
      </c>
      <c r="K27" s="145"/>
      <c r="L27" s="875">
        <f>SUM(F27,J27)</f>
        <v>0</v>
      </c>
      <c r="M27" s="876"/>
      <c r="N27" s="127"/>
      <c r="O27" s="17"/>
    </row>
    <row r="28" spans="1:15" s="326" customFormat="1" ht="20.100000000000001" customHeight="1" x14ac:dyDescent="0.2">
      <c r="A28" s="318"/>
      <c r="B28" s="330" t="str">
        <f>Parametri_DestUsoPersonalizzazione7</f>
        <v>Parcheggi coperti e solos autoveicoli (per posto macchina)</v>
      </c>
      <c r="C28" s="329"/>
      <c r="D28" s="890">
        <f>Ou_Cost_AttSport_NuovaEdif</f>
        <v>0</v>
      </c>
      <c r="E28" s="890"/>
      <c r="F28" s="890"/>
      <c r="G28" s="323"/>
      <c r="H28" s="890">
        <f>Ou_Rist_AttSpor</f>
        <v>0</v>
      </c>
      <c r="I28" s="890"/>
      <c r="J28" s="890"/>
      <c r="K28" s="328"/>
      <c r="L28" s="323"/>
      <c r="M28" s="323"/>
      <c r="N28" s="324"/>
      <c r="O28" s="325"/>
    </row>
    <row r="29" spans="1:15" s="8" customFormat="1" ht="12.75" customHeight="1" x14ac:dyDescent="0.2">
      <c r="A29" s="21"/>
      <c r="B29" s="130"/>
      <c r="C29" s="131" t="s">
        <v>82</v>
      </c>
      <c r="D29" s="177">
        <f>IF(ISERROR(MATCH(ZonaTerritoriale,ElencoZone,0))=TRUE,0,INDEX(MatriceParametri,MATCH(ZonaTerritoriale,ElencoZone,0),15))</f>
        <v>14.4</v>
      </c>
      <c r="E29" s="129"/>
      <c r="F29" s="165">
        <f>PRODUCT(D28,D29)</f>
        <v>0</v>
      </c>
      <c r="G29" s="167"/>
      <c r="H29" s="180">
        <f>IF(ISERROR(MATCH(ZonaTerritoriale,ElencoZone,0))=TRUE,0,INDEX(MatriceParametri,MATCH(ZonaTerritoriale,ElencoZone,0),16))</f>
        <v>9.08</v>
      </c>
      <c r="I29" s="129"/>
      <c r="J29" s="165">
        <f>PRODUCT(H28,H29)</f>
        <v>0</v>
      </c>
      <c r="K29" s="331"/>
      <c r="L29" s="875">
        <f>SUM(F29,J29)</f>
        <v>0</v>
      </c>
      <c r="M29" s="876"/>
      <c r="N29" s="127"/>
      <c r="O29" s="1"/>
    </row>
    <row r="30" spans="1:15" s="8" customFormat="1" ht="12.75" customHeight="1" x14ac:dyDescent="0.2">
      <c r="A30" s="21"/>
      <c r="B30" s="128"/>
      <c r="C30" s="131" t="s">
        <v>83</v>
      </c>
      <c r="D30" s="178">
        <f>IF(ISERROR(MATCH(ZonaTerritoriale,ElencoZone,0))=TRUE,0,INDEX(MatriceParametri,MATCH(ZonaTerritoriale,ElencoZone,0)+1,15))</f>
        <v>7.2</v>
      </c>
      <c r="E30" s="129"/>
      <c r="F30" s="165">
        <f>PRODUCT(D28,D30)</f>
        <v>0</v>
      </c>
      <c r="G30" s="22"/>
      <c r="H30" s="180">
        <f>IF(ISERROR(MATCH(ZonaTerritoriale,ElencoZone,0))=TRUE,0,INDEX(MatriceParametri,MATCH(ZonaTerritoriale,ElencoZone,0)+1,16))</f>
        <v>4.54</v>
      </c>
      <c r="I30" s="129"/>
      <c r="J30" s="165">
        <f>PRODUCT(H28,H30)</f>
        <v>0</v>
      </c>
      <c r="K30" s="145"/>
      <c r="L30" s="875">
        <f>SUM(F30,J30)</f>
        <v>0</v>
      </c>
      <c r="M30" s="876"/>
      <c r="N30" s="127"/>
      <c r="O30" s="1"/>
    </row>
    <row r="31" spans="1:15" s="12" customFormat="1" ht="12.75" customHeight="1" x14ac:dyDescent="0.2">
      <c r="A31" s="21"/>
      <c r="B31" s="128"/>
      <c r="C31" s="131" t="s">
        <v>84</v>
      </c>
      <c r="D31" s="180">
        <f>IF(ISERROR(MATCH(ZonaTerritoriale,ElencoZone,0))=TRUE,0,INDEX(MatriceParametri,MATCH(ZonaTerritoriale,ElencoZone,0)+2,15))</f>
        <v>0</v>
      </c>
      <c r="E31" s="129"/>
      <c r="F31" s="165">
        <f>PRODUCT(D28,D31)</f>
        <v>0</v>
      </c>
      <c r="G31" s="22"/>
      <c r="H31" s="180">
        <f>IF(ISERROR(MATCH(ZonaTerritoriale,ElencoZone,0))=TRUE,0,INDEX(MatriceParametri,MATCH(ZonaTerritoriale,ElencoZone,0)+2,16))</f>
        <v>0</v>
      </c>
      <c r="I31" s="129"/>
      <c r="J31" s="165">
        <f>PRODUCT(H28,H31)</f>
        <v>0</v>
      </c>
      <c r="K31" s="145"/>
      <c r="L31" s="875">
        <f>SUM(F31,J31)</f>
        <v>0</v>
      </c>
      <c r="M31" s="876"/>
      <c r="N31" s="127"/>
      <c r="O31" s="17"/>
    </row>
    <row r="32" spans="1:15" s="326" customFormat="1" ht="20.100000000000001" customHeight="1" x14ac:dyDescent="0.2">
      <c r="A32" s="318"/>
      <c r="B32" s="330" t="str">
        <f>Parametri_DestUsoPersonalizzazione8</f>
        <v>Attrezzature culturali sanitarie e assistenziali</v>
      </c>
      <c r="C32" s="329"/>
      <c r="D32" s="890">
        <f>Ou_Cost_AttSpett_NuovaEdif</f>
        <v>0</v>
      </c>
      <c r="E32" s="890"/>
      <c r="F32" s="890"/>
      <c r="G32" s="323"/>
      <c r="H32" s="890">
        <f>Ou_Rist_AttSpet</f>
        <v>0</v>
      </c>
      <c r="I32" s="890"/>
      <c r="J32" s="890"/>
      <c r="K32" s="328"/>
      <c r="L32" s="323"/>
      <c r="M32" s="323"/>
      <c r="N32" s="324"/>
      <c r="O32" s="325"/>
    </row>
    <row r="33" spans="1:15" s="8" customFormat="1" ht="12.75" customHeight="1" x14ac:dyDescent="0.2">
      <c r="A33" s="21"/>
      <c r="B33" s="130"/>
      <c r="C33" s="131" t="s">
        <v>82</v>
      </c>
      <c r="D33" s="177">
        <f>IF(ISERROR(MATCH(ZonaTerritoriale,ElencoZone,0))=TRUE,0,INDEX(MatriceParametri,MATCH(ZonaTerritoriale,ElencoZone,0),17))</f>
        <v>14.4</v>
      </c>
      <c r="E33" s="129"/>
      <c r="F33" s="165">
        <f>PRODUCT(D32,D33)</f>
        <v>0</v>
      </c>
      <c r="G33" s="167"/>
      <c r="H33" s="180">
        <f>IF(ISERROR(MATCH(ZonaTerritoriale,ElencoZone,0))=TRUE,0,INDEX(MatriceParametri,MATCH(ZonaTerritoriale,ElencoZone,0),18))</f>
        <v>7.2</v>
      </c>
      <c r="I33" s="129"/>
      <c r="J33" s="165">
        <f>PRODUCT(H32,H33)</f>
        <v>0</v>
      </c>
      <c r="K33" s="331"/>
      <c r="L33" s="875">
        <f>SUM(F33,J33)</f>
        <v>0</v>
      </c>
      <c r="M33" s="876"/>
      <c r="N33" s="127"/>
      <c r="O33" s="1"/>
    </row>
    <row r="34" spans="1:15" s="8" customFormat="1" ht="12.75" customHeight="1" x14ac:dyDescent="0.2">
      <c r="A34" s="21"/>
      <c r="B34" s="128"/>
      <c r="C34" s="131" t="s">
        <v>83</v>
      </c>
      <c r="D34" s="178">
        <f>IF(ISERROR(MATCH(ZonaTerritoriale,ElencoZone,0))=TRUE,0,INDEX(MatriceParametri,MATCH(ZonaTerritoriale,ElencoZone,0)+1,17))</f>
        <v>9.08</v>
      </c>
      <c r="E34" s="129"/>
      <c r="F34" s="165">
        <f>PRODUCT(D32,D34)</f>
        <v>0</v>
      </c>
      <c r="G34" s="22"/>
      <c r="H34" s="180">
        <f>IF(ISERROR(MATCH(ZonaTerritoriale,ElencoZone,0))=TRUE,0,INDEX(MatriceParametri,MATCH(ZonaTerritoriale,ElencoZone,0)+1,18))</f>
        <v>4.54</v>
      </c>
      <c r="I34" s="129"/>
      <c r="J34" s="165">
        <f>PRODUCT(H32,H34)</f>
        <v>0</v>
      </c>
      <c r="K34" s="145"/>
      <c r="L34" s="875">
        <f>SUM(F34,J34)</f>
        <v>0</v>
      </c>
      <c r="M34" s="876"/>
      <c r="N34" s="127"/>
      <c r="O34" s="1"/>
    </row>
    <row r="35" spans="1:15" s="12" customFormat="1" ht="12.75" customHeight="1" x14ac:dyDescent="0.2">
      <c r="A35" s="21"/>
      <c r="B35" s="128"/>
      <c r="C35" s="131" t="s">
        <v>84</v>
      </c>
      <c r="D35" s="180">
        <f>IF(ISERROR(MATCH(ZonaTerritoriale,ElencoZone,0))=TRUE,0,INDEX(MatriceParametri,MATCH(ZonaTerritoriale,ElencoZone,0)+2,17))</f>
        <v>0</v>
      </c>
      <c r="E35" s="129"/>
      <c r="F35" s="165">
        <f>PRODUCT(D32,D35)</f>
        <v>0</v>
      </c>
      <c r="G35" s="22"/>
      <c r="H35" s="180">
        <f>IF(ISERROR(MATCH(ZonaTerritoriale,ElencoZone,0))=TRUE,0,INDEX(MatriceParametri,MATCH(ZonaTerritoriale,ElencoZone,0)+2,18))</f>
        <v>0</v>
      </c>
      <c r="I35" s="129"/>
      <c r="J35" s="165">
        <f>PRODUCT(H32,H35)</f>
        <v>0</v>
      </c>
      <c r="K35" s="145"/>
      <c r="L35" s="875">
        <f>SUM(F35,J35)</f>
        <v>0</v>
      </c>
      <c r="M35" s="876"/>
      <c r="N35" s="127"/>
      <c r="O35" s="17"/>
    </row>
    <row r="36" spans="1:15" s="326" customFormat="1" ht="20.100000000000001" customHeight="1" x14ac:dyDescent="0.2">
      <c r="A36" s="318"/>
      <c r="B36" s="319" t="s">
        <v>108</v>
      </c>
      <c r="C36" s="329"/>
      <c r="D36" s="890">
        <f>Ou_NuovaEd_Sottotetti_ParReale</f>
        <v>0</v>
      </c>
      <c r="E36" s="890"/>
      <c r="F36" s="890"/>
      <c r="G36" s="323"/>
      <c r="H36" s="323"/>
      <c r="I36" s="323"/>
      <c r="J36" s="323"/>
      <c r="K36" s="323"/>
      <c r="L36" s="323"/>
      <c r="M36" s="323"/>
      <c r="N36" s="324"/>
      <c r="O36" s="325"/>
    </row>
    <row r="37" spans="1:15" s="12" customFormat="1" ht="12.75" customHeight="1" x14ac:dyDescent="0.2">
      <c r="A37" s="21"/>
      <c r="B37" s="130"/>
      <c r="C37" s="131" t="s">
        <v>82</v>
      </c>
      <c r="D37" s="177">
        <f>IF(ISERROR(MATCH(ZonaTerritoriale,ElencoZone,0))=TRUE,0,INDEX(MatriceParametri,MATCH(ZonaTerritoriale,ElencoZone,0),1))</f>
        <v>7.36</v>
      </c>
      <c r="E37" s="129"/>
      <c r="F37" s="165">
        <f>PRODUCT(D36,D37)</f>
        <v>0</v>
      </c>
      <c r="G37" s="332"/>
      <c r="H37" s="333"/>
      <c r="I37" s="333"/>
      <c r="J37" s="333"/>
      <c r="K37" s="334"/>
      <c r="L37" s="900">
        <f>F37</f>
        <v>0</v>
      </c>
      <c r="M37" s="900"/>
      <c r="N37" s="127"/>
      <c r="O37" s="17"/>
    </row>
    <row r="38" spans="1:15" s="12" customFormat="1" ht="12.75" customHeight="1" x14ac:dyDescent="0.2">
      <c r="A38" s="21"/>
      <c r="B38" s="128"/>
      <c r="C38" s="131" t="s">
        <v>83</v>
      </c>
      <c r="D38" s="178">
        <f>IF(ISERROR(MATCH(ZonaTerritoriale,ElencoZone,0))=TRUE,0,INDEX(MatriceParametri,MATCH(ZonaTerritoriale,ElencoZone,0)+1,1))</f>
        <v>17.489999999999998</v>
      </c>
      <c r="E38" s="129"/>
      <c r="F38" s="165">
        <f>PRODUCT(D36,D38)</f>
        <v>0</v>
      </c>
      <c r="G38" s="22"/>
      <c r="H38" s="22"/>
      <c r="I38" s="22"/>
      <c r="J38" s="22"/>
      <c r="K38" s="22"/>
      <c r="L38" s="900">
        <f>F38</f>
        <v>0</v>
      </c>
      <c r="M38" s="900"/>
      <c r="N38" s="127"/>
      <c r="O38" s="17"/>
    </row>
    <row r="39" spans="1:15" s="12" customFormat="1" ht="12.75" customHeight="1" x14ac:dyDescent="0.2">
      <c r="A39" s="21"/>
      <c r="B39" s="130"/>
      <c r="C39" s="131" t="s">
        <v>84</v>
      </c>
      <c r="D39" s="178">
        <f>IF(ISERROR(MATCH(ZonaTerritoriale,ElencoZone,0))=TRUE,0,INDEX(MatriceParametri,MATCH(ZonaTerritoriale,ElencoZone,0)+2,1))</f>
        <v>0</v>
      </c>
      <c r="E39" s="129"/>
      <c r="F39" s="165">
        <f>PRODUCT(D36,D39)</f>
        <v>0</v>
      </c>
      <c r="G39" s="22"/>
      <c r="H39" s="22"/>
      <c r="I39" s="22"/>
      <c r="J39" s="22"/>
      <c r="K39" s="22"/>
      <c r="L39" s="900">
        <f>SUM(F39,J39)</f>
        <v>0</v>
      </c>
      <c r="M39" s="900"/>
      <c r="N39" s="127"/>
      <c r="O39" s="17"/>
    </row>
    <row r="40" spans="1:15" s="326" customFormat="1" ht="20.100000000000001" customHeight="1" x14ac:dyDescent="0.2">
      <c r="A40" s="318"/>
      <c r="B40" s="330" t="str">
        <f>Parametri_DestUsoPersonalizzazione9</f>
        <v>Attrezzature sportive</v>
      </c>
      <c r="C40" s="329"/>
      <c r="D40" s="890">
        <f>Ou_Cost_Personalizzazione1_NuovaEdif</f>
        <v>0</v>
      </c>
      <c r="E40" s="890"/>
      <c r="F40" s="890"/>
      <c r="G40" s="323"/>
      <c r="H40" s="890">
        <f>Ou_Rist_Personalizzazione1</f>
        <v>0</v>
      </c>
      <c r="I40" s="890"/>
      <c r="J40" s="890"/>
      <c r="K40" s="328"/>
      <c r="L40" s="323"/>
      <c r="M40" s="323"/>
      <c r="N40" s="324"/>
      <c r="O40" s="325"/>
    </row>
    <row r="41" spans="1:15" s="8" customFormat="1" ht="12.75" customHeight="1" x14ac:dyDescent="0.2">
      <c r="A41" s="21"/>
      <c r="B41" s="130"/>
      <c r="C41" s="131" t="s">
        <v>82</v>
      </c>
      <c r="D41" s="177">
        <f>IF(ISERROR(MATCH(ZonaTerritoriale,ElencoZone,0))=TRUE,0,INDEX(MatriceParametri,MATCH(ZonaTerritoriale,ElencoZone,0),19))</f>
        <v>7.2</v>
      </c>
      <c r="E41" s="129"/>
      <c r="F41" s="165">
        <f>PRODUCT(D40,D41)</f>
        <v>0</v>
      </c>
      <c r="G41" s="167"/>
      <c r="H41" s="180">
        <f>IF(ISERROR(MATCH(ZonaTerritoriale,ElencoZone,0))=TRUE,0,INDEX(MatriceParametri,MATCH(ZonaTerritoriale,ElencoZone,0),20))</f>
        <v>3.61</v>
      </c>
      <c r="I41" s="129"/>
      <c r="J41" s="165">
        <f>PRODUCT(H40,H41)</f>
        <v>0</v>
      </c>
      <c r="K41" s="331"/>
      <c r="L41" s="900">
        <f>SUM(F41,J41)</f>
        <v>0</v>
      </c>
      <c r="M41" s="900"/>
      <c r="N41" s="127"/>
      <c r="O41" s="1"/>
    </row>
    <row r="42" spans="1:15" s="8" customFormat="1" ht="12.75" customHeight="1" x14ac:dyDescent="0.2">
      <c r="A42" s="21"/>
      <c r="B42" s="128"/>
      <c r="C42" s="131" t="s">
        <v>83</v>
      </c>
      <c r="D42" s="178">
        <f>IF(ISERROR(MATCH(ZonaTerritoriale,ElencoZone,0))=TRUE,0,INDEX(MatriceParametri,MATCH(ZonaTerritoriale,ElencoZone,0)+1,19))</f>
        <v>4.54</v>
      </c>
      <c r="E42" s="129"/>
      <c r="F42" s="165">
        <f>PRODUCT(D40,D42)</f>
        <v>0</v>
      </c>
      <c r="G42" s="22"/>
      <c r="H42" s="180">
        <f>IF(ISERROR(MATCH(ZonaTerritoriale,ElencoZone,0))=TRUE,0,INDEX(MatriceParametri,MATCH(ZonaTerritoriale,ElencoZone,0)+1,20))</f>
        <v>2.27</v>
      </c>
      <c r="I42" s="129"/>
      <c r="J42" s="165">
        <f>PRODUCT(H40,H42)</f>
        <v>0</v>
      </c>
      <c r="K42" s="145"/>
      <c r="L42" s="900">
        <f>SUM(F42,J42)</f>
        <v>0</v>
      </c>
      <c r="M42" s="900"/>
      <c r="N42" s="127"/>
      <c r="O42" s="1"/>
    </row>
    <row r="43" spans="1:15" s="12" customFormat="1" ht="12.75" customHeight="1" x14ac:dyDescent="0.2">
      <c r="A43" s="21"/>
      <c r="B43" s="128"/>
      <c r="C43" s="131" t="s">
        <v>84</v>
      </c>
      <c r="D43" s="180">
        <f>IF(ISERROR(MATCH(ZonaTerritoriale,ElencoZone,0))=TRUE,0,INDEX(MatriceParametri,MATCH(ZonaTerritoriale,ElencoZone,0)+2,19))</f>
        <v>0</v>
      </c>
      <c r="E43" s="129"/>
      <c r="F43" s="165">
        <f>PRODUCT(D40,D43)</f>
        <v>0</v>
      </c>
      <c r="G43" s="22"/>
      <c r="H43" s="180">
        <f>IF(ISERROR(MATCH(ZonaTerritoriale,ElencoZone,0))=TRUE,0,INDEX(MatriceParametri,MATCH(ZonaTerritoriale,ElencoZone,0)+2,20))</f>
        <v>0</v>
      </c>
      <c r="I43" s="129"/>
      <c r="J43" s="165">
        <f>PRODUCT(H40,H43)</f>
        <v>0</v>
      </c>
      <c r="K43" s="145"/>
      <c r="L43" s="900">
        <f>SUM(F43,J43)</f>
        <v>0</v>
      </c>
      <c r="M43" s="900"/>
      <c r="N43" s="127"/>
      <c r="O43" s="17"/>
    </row>
    <row r="44" spans="1:15" s="326" customFormat="1" ht="20.100000000000001" customHeight="1" x14ac:dyDescent="0.2">
      <c r="A44" s="318"/>
      <c r="B44" s="330" t="str">
        <f>Parametri_DestUsoPersonalizzazione10</f>
        <v>Attrezzature spettacolo</v>
      </c>
      <c r="C44" s="329"/>
      <c r="D44" s="890">
        <f>Ou_Cost_Personalizzazione2_NuovaEdif</f>
        <v>0</v>
      </c>
      <c r="E44" s="890"/>
      <c r="F44" s="890"/>
      <c r="G44" s="323"/>
      <c r="H44" s="890">
        <f>Ou_Rist_Personalizzazione2</f>
        <v>0</v>
      </c>
      <c r="I44" s="890"/>
      <c r="J44" s="890"/>
      <c r="K44" s="328"/>
      <c r="L44" s="323"/>
      <c r="M44" s="323"/>
      <c r="N44" s="324"/>
      <c r="O44" s="325"/>
    </row>
    <row r="45" spans="1:15" s="8" customFormat="1" ht="12.75" customHeight="1" x14ac:dyDescent="0.2">
      <c r="A45" s="21"/>
      <c r="B45" s="130"/>
      <c r="C45" s="131" t="s">
        <v>82</v>
      </c>
      <c r="D45" s="177">
        <f>IF(ISERROR(MATCH(ZonaTerritoriale,ElencoZone,0))=TRUE,0,INDEX(MatriceParametri,MATCH(ZonaTerritoriale,ElencoZone,0),21))</f>
        <v>21.6</v>
      </c>
      <c r="E45" s="129"/>
      <c r="F45" s="165">
        <f>PRODUCT(D44,D45)</f>
        <v>0</v>
      </c>
      <c r="G45" s="167"/>
      <c r="H45" s="180">
        <f>IF(ISERROR(MATCH(ZonaTerritoriale,ElencoZone,0))=TRUE,0,INDEX(MatriceParametri,MATCH(ZonaTerritoriale,ElencoZone,0),22))</f>
        <v>10.8</v>
      </c>
      <c r="I45" s="129"/>
      <c r="J45" s="165">
        <f>PRODUCT(H44,H45)</f>
        <v>0</v>
      </c>
      <c r="K45" s="331"/>
      <c r="L45" s="900">
        <f>SUM(F45,J45)</f>
        <v>0</v>
      </c>
      <c r="M45" s="900"/>
      <c r="N45" s="127"/>
      <c r="O45" s="1"/>
    </row>
    <row r="46" spans="1:15" s="8" customFormat="1" ht="12.75" customHeight="1" x14ac:dyDescent="0.2">
      <c r="A46" s="21"/>
      <c r="B46" s="128"/>
      <c r="C46" s="131" t="s">
        <v>83</v>
      </c>
      <c r="D46" s="178">
        <f>IF(ISERROR(MATCH(ZonaTerritoriale,ElencoZone,0))=TRUE,0,INDEX(MatriceParametri,MATCH(ZonaTerritoriale,ElencoZone,0)+1,21))</f>
        <v>13.63</v>
      </c>
      <c r="E46" s="129"/>
      <c r="F46" s="165">
        <f>PRODUCT(D44,D46)</f>
        <v>0</v>
      </c>
      <c r="G46" s="22"/>
      <c r="H46" s="180">
        <f>IF(ISERROR(MATCH(ZonaTerritoriale,ElencoZone,0))=TRUE,0,INDEX(MatriceParametri,MATCH(ZonaTerritoriale,ElencoZone,0)+1,22))</f>
        <v>6.81</v>
      </c>
      <c r="I46" s="129"/>
      <c r="J46" s="165">
        <f>PRODUCT(H44,H46)</f>
        <v>0</v>
      </c>
      <c r="K46" s="145"/>
      <c r="L46" s="900">
        <f>SUM(F46,J46)</f>
        <v>0</v>
      </c>
      <c r="M46" s="900"/>
      <c r="N46" s="127"/>
      <c r="O46" s="1"/>
    </row>
    <row r="47" spans="1:15" s="12" customFormat="1" ht="12.75" customHeight="1" x14ac:dyDescent="0.2">
      <c r="A47" s="21"/>
      <c r="B47" s="128"/>
      <c r="C47" s="131" t="s">
        <v>84</v>
      </c>
      <c r="D47" s="180">
        <f>IF(ISERROR(MATCH(ZonaTerritoriale,ElencoZone,0))=TRUE,0,INDEX(MatriceParametri,MATCH(ZonaTerritoriale,ElencoZone,0)+2,21))</f>
        <v>0</v>
      </c>
      <c r="E47" s="129"/>
      <c r="F47" s="165">
        <f>PRODUCT(D44,D47)</f>
        <v>0</v>
      </c>
      <c r="G47" s="22"/>
      <c r="H47" s="180">
        <f>IF(ISERROR(MATCH(ZonaTerritoriale,ElencoZone,0))=TRUE,0,INDEX(MatriceParametri,MATCH(ZonaTerritoriale,ElencoZone,0)+2,22))</f>
        <v>0</v>
      </c>
      <c r="I47" s="129"/>
      <c r="J47" s="165">
        <f>PRODUCT(H44,H47)</f>
        <v>0</v>
      </c>
      <c r="K47" s="145"/>
      <c r="L47" s="900">
        <f>SUM(F47,J47)</f>
        <v>0</v>
      </c>
      <c r="M47" s="900"/>
      <c r="N47" s="127"/>
      <c r="O47" s="17"/>
    </row>
    <row r="48" spans="1:15" s="326" customFormat="1" ht="20.100000000000001" customHeight="1" x14ac:dyDescent="0.2">
      <c r="A48" s="318"/>
      <c r="B48" s="330" t="str">
        <f>Parametri_DestUsoPersonalizzazione11</f>
        <v>Campeggi (per utente)</v>
      </c>
      <c r="C48" s="329"/>
      <c r="D48" s="890">
        <f>Ou_Cost_Personalizzazione3_NuovaEdif</f>
        <v>0</v>
      </c>
      <c r="E48" s="890"/>
      <c r="F48" s="890"/>
      <c r="G48" s="323"/>
      <c r="H48" s="890">
        <f>Ou_Rist_Personalizzazione3</f>
        <v>0</v>
      </c>
      <c r="I48" s="890"/>
      <c r="J48" s="890"/>
      <c r="K48" s="328"/>
      <c r="L48" s="323"/>
      <c r="M48" s="323"/>
      <c r="N48" s="324"/>
      <c r="O48" s="325"/>
    </row>
    <row r="49" spans="1:16" s="8" customFormat="1" ht="12.75" customHeight="1" x14ac:dyDescent="0.2">
      <c r="A49" s="21"/>
      <c r="B49" s="130"/>
      <c r="C49" s="131" t="s">
        <v>82</v>
      </c>
      <c r="D49" s="177">
        <f>IF(ISERROR(MATCH(ZonaTerritoriale,ElencoZone,0))=TRUE,0,INDEX(MatriceParametri,MATCH(ZonaTerritoriale,ElencoZone,0),23))</f>
        <v>236.18</v>
      </c>
      <c r="E49" s="129"/>
      <c r="F49" s="165">
        <f>PRODUCT(D48,D49)</f>
        <v>0</v>
      </c>
      <c r="G49" s="167"/>
      <c r="H49" s="180">
        <f>IF(ISERROR(MATCH(ZonaTerritoriale,ElencoZone,0))=TRUE,0,INDEX(MatriceParametri,MATCH(ZonaTerritoriale,ElencoZone,0),24))</f>
        <v>0</v>
      </c>
      <c r="I49" s="129"/>
      <c r="J49" s="165">
        <f>PRODUCT(H48,H49)</f>
        <v>0</v>
      </c>
      <c r="K49" s="331"/>
      <c r="L49" s="900">
        <f>SUM(F49,J49)</f>
        <v>0</v>
      </c>
      <c r="M49" s="900"/>
      <c r="N49" s="127"/>
      <c r="O49" s="1"/>
    </row>
    <row r="50" spans="1:16" s="8" customFormat="1" ht="12.75" customHeight="1" x14ac:dyDescent="0.2">
      <c r="A50" s="21"/>
      <c r="B50" s="128"/>
      <c r="C50" s="131" t="s">
        <v>83</v>
      </c>
      <c r="D50" s="178">
        <f>IF(ISERROR(MATCH(ZonaTerritoriale,ElencoZone,0))=TRUE,0,INDEX(MatriceParametri,MATCH(ZonaTerritoriale,ElencoZone,0)+1,23))</f>
        <v>197.13</v>
      </c>
      <c r="E50" s="129"/>
      <c r="F50" s="165">
        <f>PRODUCT(D48,D50)</f>
        <v>0</v>
      </c>
      <c r="G50" s="22"/>
      <c r="H50" s="180">
        <f>IF(ISERROR(MATCH(ZonaTerritoriale,ElencoZone,0))=TRUE,0,INDEX(MatriceParametri,MATCH(ZonaTerritoriale,ElencoZone,0)+1,24))</f>
        <v>0</v>
      </c>
      <c r="I50" s="129"/>
      <c r="J50" s="165">
        <f>PRODUCT(H48,H50)</f>
        <v>0</v>
      </c>
      <c r="K50" s="145"/>
      <c r="L50" s="900">
        <f>SUM(F50,J50)</f>
        <v>0</v>
      </c>
      <c r="M50" s="900"/>
      <c r="N50" s="127"/>
      <c r="O50" s="1"/>
    </row>
    <row r="51" spans="1:16" s="12" customFormat="1" ht="12.75" customHeight="1" x14ac:dyDescent="0.2">
      <c r="A51" s="21"/>
      <c r="B51" s="128"/>
      <c r="C51" s="131" t="s">
        <v>84</v>
      </c>
      <c r="D51" s="180">
        <f>IF(ISERROR(MATCH(ZonaTerritoriale,ElencoZone,0))=TRUE,0,INDEX(MatriceParametri,MATCH(ZonaTerritoriale,ElencoZone,0)+2,23))</f>
        <v>0</v>
      </c>
      <c r="E51" s="129"/>
      <c r="F51" s="165">
        <f>PRODUCT(D48,D51)</f>
        <v>0</v>
      </c>
      <c r="G51" s="22"/>
      <c r="H51" s="180">
        <f>IF(ISERROR(MATCH(ZonaTerritoriale,ElencoZone,0))=TRUE,0,INDEX(MatriceParametri,MATCH(ZonaTerritoriale,ElencoZone,0)+2,24))</f>
        <v>0</v>
      </c>
      <c r="I51" s="129"/>
      <c r="J51" s="165">
        <f>PRODUCT(H48,H51)</f>
        <v>0</v>
      </c>
      <c r="K51" s="145"/>
      <c r="L51" s="900">
        <f>SUM(F51,J51)</f>
        <v>0</v>
      </c>
      <c r="M51" s="900"/>
      <c r="N51" s="127"/>
      <c r="O51" s="17"/>
    </row>
    <row r="52" spans="1:16" x14ac:dyDescent="0.2">
      <c r="A52" s="21"/>
      <c r="B52" s="128"/>
      <c r="C52" s="22"/>
      <c r="D52" s="131"/>
      <c r="E52" s="22"/>
      <c r="F52" s="22"/>
      <c r="G52" s="132"/>
      <c r="H52" s="132"/>
      <c r="I52" s="22"/>
      <c r="J52" s="133"/>
      <c r="K52" s="133"/>
      <c r="L52" s="22"/>
      <c r="M52" s="132"/>
      <c r="N52" s="127"/>
      <c r="P52" s="119"/>
    </row>
    <row r="53" spans="1:16" s="12" customFormat="1" ht="12.75" customHeight="1" x14ac:dyDescent="0.2">
      <c r="A53" s="21"/>
      <c r="B53" s="312" t="s">
        <v>265</v>
      </c>
      <c r="C53" s="313"/>
      <c r="D53" s="313"/>
      <c r="E53" s="313"/>
      <c r="F53" s="313"/>
      <c r="G53" s="313"/>
      <c r="H53" s="313"/>
      <c r="I53" s="313"/>
      <c r="J53" s="313"/>
      <c r="K53" s="164"/>
      <c r="L53" s="900">
        <f>SUM(L5,L9,L13,L17,L21,L25,L29,L33,L37,L41,L45,L49)</f>
        <v>0</v>
      </c>
      <c r="M53" s="900"/>
      <c r="N53" s="136"/>
      <c r="O53" s="17"/>
    </row>
    <row r="54" spans="1:16" s="12" customFormat="1" ht="12.75" customHeight="1" x14ac:dyDescent="0.2">
      <c r="A54" s="21"/>
      <c r="B54" s="834" t="s">
        <v>266</v>
      </c>
      <c r="C54" s="861"/>
      <c r="D54" s="861"/>
      <c r="E54" s="861"/>
      <c r="F54" s="861"/>
      <c r="G54" s="861"/>
      <c r="H54" s="861"/>
      <c r="I54" s="861"/>
      <c r="J54" s="861"/>
      <c r="K54" s="335"/>
      <c r="L54" s="900">
        <f>SUM(L6,L10,L14,L18,L22,L26,L30,L34,L38,L42,L46,L50)</f>
        <v>0</v>
      </c>
      <c r="M54" s="900"/>
      <c r="N54" s="136"/>
      <c r="O54" s="17"/>
    </row>
    <row r="55" spans="1:16" s="12" customFormat="1" ht="12.75" customHeight="1" x14ac:dyDescent="0.2">
      <c r="A55" s="21"/>
      <c r="B55" s="834" t="s">
        <v>267</v>
      </c>
      <c r="C55" s="861"/>
      <c r="D55" s="861"/>
      <c r="E55" s="861"/>
      <c r="F55" s="861"/>
      <c r="G55" s="861"/>
      <c r="H55" s="861"/>
      <c r="I55" s="861"/>
      <c r="J55" s="861"/>
      <c r="K55" s="244"/>
      <c r="L55" s="900">
        <f>SUM(L7,L11,L15,L19,L23,L27,L31,L35,L39,L43,L47,L51)</f>
        <v>0</v>
      </c>
      <c r="M55" s="900"/>
      <c r="N55" s="136"/>
      <c r="O55" s="17"/>
    </row>
    <row r="56" spans="1:16" s="12" customFormat="1" ht="12.75" customHeight="1" x14ac:dyDescent="0.2">
      <c r="A56" s="21"/>
      <c r="B56" s="60"/>
      <c r="C56" s="58"/>
      <c r="D56" s="58"/>
      <c r="E56" s="58"/>
      <c r="F56" s="58"/>
      <c r="G56" s="58"/>
      <c r="H56" s="58"/>
      <c r="I56" s="22"/>
      <c r="J56" s="164"/>
      <c r="K56" s="164"/>
      <c r="L56" s="22"/>
      <c r="M56" s="125"/>
      <c r="N56" s="136"/>
      <c r="O56" s="17"/>
    </row>
    <row r="57" spans="1:16" s="12" customFormat="1" ht="15" customHeight="1" x14ac:dyDescent="0.2">
      <c r="A57" s="21"/>
      <c r="B57" s="228"/>
      <c r="C57" s="229"/>
      <c r="D57" s="229"/>
      <c r="E57" s="229"/>
      <c r="F57" s="229"/>
      <c r="G57" s="229"/>
      <c r="H57" s="229"/>
      <c r="I57" s="229"/>
      <c r="J57" s="252" t="s">
        <v>105</v>
      </c>
      <c r="K57" s="317"/>
      <c r="L57" s="924">
        <f>ImportoOneriUrb1+ImportoOneriUrb2+ImportoOneriSmaltimentoRif</f>
        <v>0</v>
      </c>
      <c r="M57" s="924"/>
      <c r="N57" s="136"/>
      <c r="O57" s="17"/>
    </row>
    <row r="58" spans="1:16" ht="16.5" customHeight="1" x14ac:dyDescent="0.2">
      <c r="A58" s="21"/>
      <c r="B58" s="128"/>
      <c r="C58" s="23"/>
      <c r="D58" s="24"/>
      <c r="E58" s="25"/>
      <c r="F58" s="24"/>
      <c r="G58" s="22"/>
      <c r="H58" s="22"/>
      <c r="I58" s="22"/>
      <c r="J58" s="22"/>
      <c r="K58" s="22"/>
      <c r="L58" s="22"/>
      <c r="M58" s="190"/>
      <c r="N58" s="127"/>
    </row>
    <row r="59" spans="1:16" s="10" customFormat="1" ht="15" customHeight="1" x14ac:dyDescent="0.25">
      <c r="A59" s="32"/>
      <c r="B59" s="913" t="s">
        <v>222</v>
      </c>
      <c r="C59" s="914"/>
      <c r="D59" s="914"/>
      <c r="E59" s="914"/>
      <c r="F59" s="914"/>
      <c r="G59" s="914"/>
      <c r="H59" s="914"/>
      <c r="I59" s="914"/>
      <c r="J59" s="914"/>
      <c r="K59" s="914"/>
      <c r="L59" s="914"/>
      <c r="M59" s="914"/>
      <c r="N59" s="915"/>
      <c r="O59" s="15"/>
    </row>
    <row r="60" spans="1:16" s="11" customFormat="1" ht="15" customHeight="1" x14ac:dyDescent="0.25">
      <c r="A60" s="28"/>
      <c r="B60" s="122"/>
      <c r="C60" s="123"/>
      <c r="D60" s="874" t="s">
        <v>160</v>
      </c>
      <c r="E60" s="874"/>
      <c r="F60" s="874"/>
      <c r="G60" s="16"/>
      <c r="H60" s="874" t="s">
        <v>161</v>
      </c>
      <c r="I60" s="874"/>
      <c r="J60" s="874"/>
      <c r="K60" s="577"/>
      <c r="L60" s="28"/>
      <c r="M60" s="125"/>
      <c r="N60" s="126"/>
      <c r="O60" s="16"/>
    </row>
    <row r="61" spans="1:16" s="326" customFormat="1" ht="20.100000000000001" customHeight="1" x14ac:dyDescent="0.2">
      <c r="A61" s="318"/>
      <c r="B61" s="319" t="str">
        <f>Parametri_DestUsoPersonalizzazione1 &amp; IF(EdiliziaConvenzionata="No",""," edilizia conv.")</f>
        <v>Residenziale</v>
      </c>
      <c r="C61" s="320"/>
      <c r="D61" s="887">
        <f>Ou_UsoIniziale_Res_ParVirt</f>
        <v>0</v>
      </c>
      <c r="E61" s="888"/>
      <c r="F61" s="888"/>
      <c r="G61" s="321"/>
      <c r="H61" s="887">
        <f>Ou_NuovaEd_Res_ParVirt</f>
        <v>0</v>
      </c>
      <c r="I61" s="887"/>
      <c r="J61" s="887"/>
      <c r="K61" s="322"/>
      <c r="L61" s="323"/>
      <c r="M61" s="323"/>
      <c r="N61" s="324"/>
      <c r="O61" s="325"/>
    </row>
    <row r="62" spans="1:16" s="12" customFormat="1" ht="12.75" customHeight="1" x14ac:dyDescent="0.2">
      <c r="A62" s="21"/>
      <c r="B62" s="128"/>
      <c r="C62" s="131" t="s">
        <v>82</v>
      </c>
      <c r="D62" s="177">
        <f>IF(ISERROR(MATCH(ZonaTerritoriale,ElencoZone,0))=TRUE,0,INDEX(MatriceParametri,MATCH(ZonaTerritoriale,ElencoZone,0),IF(DatiGen_ResidenzialeClasseA="No",1,3)))</f>
        <v>7.36</v>
      </c>
      <c r="E62" s="129"/>
      <c r="F62" s="165">
        <f>PRODUCT(D61,D62)</f>
        <v>0</v>
      </c>
      <c r="G62" s="167"/>
      <c r="H62" s="177">
        <f>IF(ISERROR(MATCH(ZonaTerritoriale,ElencoZone,0))=TRUE,0,INDEX(MatriceParametri,MATCH(ZonaTerritoriale,ElencoZone,0),IF(DatiGen_ResidenzialeClasseA="No",1,3)))</f>
        <v>7.36</v>
      </c>
      <c r="I62" s="129"/>
      <c r="J62" s="165">
        <f>PRODUCT(H61,H62)</f>
        <v>0</v>
      </c>
      <c r="K62" s="145"/>
      <c r="L62" s="22"/>
      <c r="M62" s="22"/>
      <c r="N62" s="127"/>
      <c r="O62" s="17"/>
    </row>
    <row r="63" spans="1:16" s="12" customFormat="1" ht="12.75" customHeight="1" x14ac:dyDescent="0.2">
      <c r="A63" s="21"/>
      <c r="B63" s="130"/>
      <c r="C63" s="131" t="s">
        <v>83</v>
      </c>
      <c r="D63" s="178">
        <f>IF(ISERROR(MATCH(ZonaTerritoriale,ElencoZone,0))=TRUE,0,INDEX(MatriceParametri,MATCH(ZonaTerritoriale,ElencoZone,0)+1,IF(DatiGen_ResidenzialeClasseA="No",1,3)))</f>
        <v>17.489999999999998</v>
      </c>
      <c r="E63" s="129"/>
      <c r="F63" s="165">
        <f>PRODUCT(D61,D63)</f>
        <v>0</v>
      </c>
      <c r="G63" s="22"/>
      <c r="H63" s="178">
        <f>IF(ISERROR(MATCH(ZonaTerritoriale,ElencoZone,0))=TRUE,0,INDEX(MatriceParametri,MATCH(ZonaTerritoriale,ElencoZone,0)+1,IF(DatiGen_ResidenzialeClasseA="No",1,3)))</f>
        <v>17.489999999999998</v>
      </c>
      <c r="I63" s="129"/>
      <c r="J63" s="165">
        <f>PRODUCT(H61,H63)</f>
        <v>0</v>
      </c>
      <c r="K63" s="145"/>
      <c r="L63" s="22"/>
      <c r="M63" s="22"/>
      <c r="N63" s="127"/>
      <c r="O63" s="17"/>
    </row>
    <row r="64" spans="1:16" s="12" customFormat="1" ht="12.75" customHeight="1" x14ac:dyDescent="0.2">
      <c r="A64" s="21"/>
      <c r="B64" s="128"/>
      <c r="C64" s="131" t="s">
        <v>84</v>
      </c>
      <c r="D64" s="179">
        <f>IF(ISERROR(MATCH(ZonaTerritoriale,ElencoZone,0))=TRUE,0,INDEX(MatriceParametri,MATCH(ZonaTerritoriale,ElencoZone,0)+2,IF(DatiGen_ResidenzialeClasseA="No",1,3)))</f>
        <v>0</v>
      </c>
      <c r="E64" s="129"/>
      <c r="F64" s="165">
        <f>PRODUCT(D61,D64)</f>
        <v>0</v>
      </c>
      <c r="G64" s="22"/>
      <c r="H64" s="179">
        <f>IF(ISERROR(MATCH(ZonaTerritoriale,ElencoZone,0))=TRUE,0,INDEX(MatriceParametri,MATCH(ZonaTerritoriale,ElencoZone,0)+2,IF(DatiGen_ResidenzialeClasseA="No",1,3)))</f>
        <v>0</v>
      </c>
      <c r="I64" s="129"/>
      <c r="J64" s="165">
        <f>PRODUCT(H61,H64)</f>
        <v>0</v>
      </c>
      <c r="K64" s="145"/>
      <c r="L64" s="22"/>
      <c r="M64" s="22"/>
      <c r="N64" s="127"/>
      <c r="O64" s="17"/>
    </row>
    <row r="65" spans="1:15" s="326" customFormat="1" ht="20.100000000000001" customHeight="1" x14ac:dyDescent="0.2">
      <c r="A65" s="318"/>
      <c r="B65" s="319" t="str">
        <f>Parametri_DestUsoPersonalizzazione2</f>
        <v>Artigianato e piccola industria</v>
      </c>
      <c r="C65" s="327"/>
      <c r="D65" s="890">
        <f>Ou_UsoIniziale_Com_ParVirt</f>
        <v>0</v>
      </c>
      <c r="E65" s="890"/>
      <c r="F65" s="890"/>
      <c r="G65" s="321"/>
      <c r="H65" s="890">
        <f>Ou_NuovaEd_Com_ParVirt</f>
        <v>0</v>
      </c>
      <c r="I65" s="890"/>
      <c r="J65" s="890"/>
      <c r="K65" s="328"/>
      <c r="L65" s="323"/>
      <c r="M65" s="323"/>
      <c r="N65" s="324"/>
      <c r="O65" s="325"/>
    </row>
    <row r="66" spans="1:15" s="12" customFormat="1" ht="12.75" customHeight="1" x14ac:dyDescent="0.2">
      <c r="A66" s="21"/>
      <c r="B66" s="130"/>
      <c r="C66" s="131" t="s">
        <v>82</v>
      </c>
      <c r="D66" s="180">
        <f>IF(ISERROR(MATCH(ZonaTerritoriale,ElencoZone,0))=TRUE,0,INDEX(MatriceParametri,MATCH(ZonaTerritoriale,ElencoZone,0),5))</f>
        <v>17.41</v>
      </c>
      <c r="E66" s="129"/>
      <c r="F66" s="165">
        <f>PRODUCT(D65,D66)</f>
        <v>0</v>
      </c>
      <c r="G66" s="167"/>
      <c r="H66" s="180">
        <f>IF(ISERROR(MATCH(ZonaTerritoriale,ElencoZone,0))=TRUE,0,INDEX(MatriceParametri,MATCH(ZonaTerritoriale,ElencoZone,0),5))</f>
        <v>17.41</v>
      </c>
      <c r="I66" s="129"/>
      <c r="J66" s="165">
        <f>PRODUCT(H65,H66)</f>
        <v>0</v>
      </c>
      <c r="K66" s="145"/>
      <c r="L66" s="22"/>
      <c r="M66" s="22"/>
      <c r="N66" s="127"/>
      <c r="O66" s="17"/>
    </row>
    <row r="67" spans="1:15" s="12" customFormat="1" ht="12.75" customHeight="1" x14ac:dyDescent="0.2">
      <c r="A67" s="21"/>
      <c r="B67" s="128"/>
      <c r="C67" s="131" t="s">
        <v>83</v>
      </c>
      <c r="D67" s="180">
        <f>IF(ISERROR(MATCH(ZonaTerritoriale,ElencoZone,0))=TRUE,0,INDEX(MatriceParametri,MATCH(ZonaTerritoriale,ElencoZone,0)+1,5))</f>
        <v>7.42</v>
      </c>
      <c r="E67" s="129"/>
      <c r="F67" s="165">
        <f>PRODUCT(D65,D67)</f>
        <v>0</v>
      </c>
      <c r="G67" s="22"/>
      <c r="H67" s="180">
        <f>IF(ISERROR(MATCH(ZonaTerritoriale,ElencoZone,0))=TRUE,0,INDEX(MatriceParametri,MATCH(ZonaTerritoriale,ElencoZone,0)+1,5))</f>
        <v>7.42</v>
      </c>
      <c r="I67" s="129"/>
      <c r="J67" s="165">
        <f>PRODUCT(H65,H67)</f>
        <v>0</v>
      </c>
      <c r="K67" s="145"/>
      <c r="L67" s="22"/>
      <c r="M67" s="22"/>
      <c r="N67" s="127"/>
      <c r="O67" s="17"/>
    </row>
    <row r="68" spans="1:15" s="12" customFormat="1" ht="12.75" customHeight="1" x14ac:dyDescent="0.2">
      <c r="A68" s="21"/>
      <c r="B68" s="128"/>
      <c r="C68" s="131" t="s">
        <v>84</v>
      </c>
      <c r="D68" s="180">
        <f>IF(ISERROR(MATCH(ZonaTerritoriale,ElencoZone,0))=TRUE,0,INDEX(MatriceParametri,MATCH(ZonaTerritoriale,ElencoZone,0)+2,5))</f>
        <v>3.57</v>
      </c>
      <c r="E68" s="129"/>
      <c r="F68" s="165">
        <f>PRODUCT(D65,D68)</f>
        <v>0</v>
      </c>
      <c r="G68" s="22"/>
      <c r="H68" s="180">
        <f>IF(ISERROR(MATCH(ZonaTerritoriale,ElencoZone,0))=TRUE,0,INDEX(MatriceParametri,MATCH(ZonaTerritoriale,ElencoZone,0)+2,5))</f>
        <v>3.57</v>
      </c>
      <c r="I68" s="129"/>
      <c r="J68" s="165">
        <f>PRODUCT(H65,H68)</f>
        <v>0</v>
      </c>
      <c r="K68" s="145"/>
      <c r="L68" s="22"/>
      <c r="M68" s="22"/>
      <c r="N68" s="127"/>
      <c r="O68" s="17"/>
    </row>
    <row r="69" spans="1:15" s="326" customFormat="1" ht="20.100000000000001" customHeight="1" x14ac:dyDescent="0.2">
      <c r="A69" s="318"/>
      <c r="B69" s="319" t="str">
        <f>Parametri_DestUsoPersonalizzazione3</f>
        <v>Industria</v>
      </c>
      <c r="C69" s="329"/>
      <c r="D69" s="890">
        <f>Ou_UsoIniziale_IndArt_ParVirt</f>
        <v>0</v>
      </c>
      <c r="E69" s="890"/>
      <c r="F69" s="890"/>
      <c r="G69" s="321"/>
      <c r="H69" s="890">
        <f>Ou_NuovaEd_IndArt_ParVirt</f>
        <v>0</v>
      </c>
      <c r="I69" s="890"/>
      <c r="J69" s="890"/>
      <c r="K69" s="328"/>
      <c r="L69" s="323"/>
      <c r="M69" s="323"/>
      <c r="N69" s="324"/>
      <c r="O69" s="325"/>
    </row>
    <row r="70" spans="1:15" s="12" customFormat="1" ht="12.75" customHeight="1" x14ac:dyDescent="0.2">
      <c r="A70" s="21"/>
      <c r="B70" s="130"/>
      <c r="C70" s="131" t="s">
        <v>82</v>
      </c>
      <c r="D70" s="180">
        <f>IF(ISERROR(MATCH(ZonaTerritoriale,ElencoZone,0))=TRUE,0,INDEX(MatriceParametri,MATCH(ZonaTerritoriale,ElencoZone,0),7))</f>
        <v>18.75</v>
      </c>
      <c r="E70" s="129"/>
      <c r="F70" s="165">
        <f>PRODUCT(D69,D70)</f>
        <v>0</v>
      </c>
      <c r="G70" s="167"/>
      <c r="H70" s="180">
        <f>IF(ISERROR(MATCH(ZonaTerritoriale,ElencoZone,0))=TRUE,0,INDEX(MatriceParametri,MATCH(ZonaTerritoriale,ElencoZone,0),7))</f>
        <v>18.75</v>
      </c>
      <c r="I70" s="129"/>
      <c r="J70" s="165">
        <f>PRODUCT(H69,H70)</f>
        <v>0</v>
      </c>
      <c r="K70" s="145"/>
      <c r="L70" s="22"/>
      <c r="M70" s="315"/>
      <c r="N70" s="127"/>
      <c r="O70" s="17"/>
    </row>
    <row r="71" spans="1:15" s="12" customFormat="1" ht="12.75" customHeight="1" x14ac:dyDescent="0.2">
      <c r="A71" s="21"/>
      <c r="B71" s="128"/>
      <c r="C71" s="131" t="s">
        <v>83</v>
      </c>
      <c r="D71" s="180">
        <f>IF(ISERROR(MATCH(ZonaTerritoriale,ElencoZone,0))=TRUE,0,INDEX(MatriceParametri,MATCH(ZonaTerritoriale,ElencoZone,0)+1,7))</f>
        <v>11.31</v>
      </c>
      <c r="E71" s="129"/>
      <c r="F71" s="165">
        <f>PRODUCT(D69,D71)</f>
        <v>0</v>
      </c>
      <c r="G71" s="22"/>
      <c r="H71" s="180">
        <f>IF(ISERROR(MATCH(ZonaTerritoriale,ElencoZone,0))=TRUE,0,INDEX(MatriceParametri,MATCH(ZonaTerritoriale,ElencoZone,0)+1,7))</f>
        <v>11.31</v>
      </c>
      <c r="I71" s="129"/>
      <c r="J71" s="165">
        <f>PRODUCT(H69,H71)</f>
        <v>0</v>
      </c>
      <c r="K71" s="145"/>
      <c r="L71" s="22"/>
      <c r="M71" s="22"/>
      <c r="N71" s="127"/>
      <c r="O71" s="17"/>
    </row>
    <row r="72" spans="1:15" s="12" customFormat="1" ht="12.75" customHeight="1" x14ac:dyDescent="0.2">
      <c r="A72" s="21"/>
      <c r="B72" s="128"/>
      <c r="C72" s="131" t="s">
        <v>84</v>
      </c>
      <c r="D72" s="180">
        <f>IF(ISERROR(MATCH(ZonaTerritoriale,ElencoZone,0))=TRUE,0,INDEX(MatriceParametri,MATCH(ZonaTerritoriale,ElencoZone,0)+2,7))</f>
        <v>3.84</v>
      </c>
      <c r="E72" s="129"/>
      <c r="F72" s="165">
        <f>PRODUCT(D69,D72)</f>
        <v>0</v>
      </c>
      <c r="G72" s="22"/>
      <c r="H72" s="180">
        <f>IF(ISERROR(MATCH(ZonaTerritoriale,ElencoZone,0))=TRUE,0,INDEX(MatriceParametri,MATCH(ZonaTerritoriale,ElencoZone,0)+2,7))</f>
        <v>3.84</v>
      </c>
      <c r="I72" s="129"/>
      <c r="J72" s="165">
        <f>PRODUCT(H69,H72)</f>
        <v>0</v>
      </c>
      <c r="K72" s="145"/>
      <c r="L72" s="22"/>
      <c r="M72" s="22"/>
      <c r="N72" s="127"/>
      <c r="O72" s="17"/>
    </row>
    <row r="73" spans="1:15" s="326" customFormat="1" ht="20.100000000000001" customHeight="1" x14ac:dyDescent="0.2">
      <c r="A73" s="318"/>
      <c r="B73" s="319" t="str">
        <f>Parametri_DestUsoPersonalizzazione4</f>
        <v>Industriale alberghiera (alberghi)</v>
      </c>
      <c r="C73" s="329"/>
      <c r="D73" s="890">
        <f>Ou_UsoIniziale_IndAlb_ParVirt</f>
        <v>0</v>
      </c>
      <c r="E73" s="890"/>
      <c r="F73" s="890"/>
      <c r="G73" s="321"/>
      <c r="H73" s="890">
        <f>Ou_NuovaEd_IndAlb_ParVirt</f>
        <v>0</v>
      </c>
      <c r="I73" s="890"/>
      <c r="J73" s="890"/>
      <c r="K73" s="328"/>
      <c r="L73" s="323"/>
      <c r="M73" s="323"/>
      <c r="N73" s="324"/>
      <c r="O73" s="325"/>
    </row>
    <row r="74" spans="1:15" s="12" customFormat="1" ht="12.75" customHeight="1" x14ac:dyDescent="0.2">
      <c r="A74" s="21"/>
      <c r="B74" s="130"/>
      <c r="C74" s="131" t="s">
        <v>82</v>
      </c>
      <c r="D74" s="180">
        <f>IF(ISERROR(MATCH(ZonaTerritoriale,ElencoZone,0))=TRUE,0,INDEX(MatriceParametri,MATCH(ZonaTerritoriale,ElencoZone,0),9))</f>
        <v>27.55</v>
      </c>
      <c r="E74" s="129"/>
      <c r="F74" s="165">
        <f>PRODUCT(D73,D74)</f>
        <v>0</v>
      </c>
      <c r="G74" s="167"/>
      <c r="H74" s="180">
        <f>IF(ISERROR(MATCH(ZonaTerritoriale,ElencoZone,0))=TRUE,0,INDEX(MatriceParametri,MATCH(ZonaTerritoriale,ElencoZone,0),9))</f>
        <v>27.55</v>
      </c>
      <c r="I74" s="129"/>
      <c r="J74" s="165">
        <f>PRODUCT(H73,H74)</f>
        <v>0</v>
      </c>
      <c r="K74" s="145"/>
      <c r="L74" s="22"/>
      <c r="M74" s="22"/>
      <c r="N74" s="127"/>
      <c r="O74" s="17"/>
    </row>
    <row r="75" spans="1:15" s="12" customFormat="1" ht="12.75" customHeight="1" x14ac:dyDescent="0.2">
      <c r="A75" s="21"/>
      <c r="B75" s="128"/>
      <c r="C75" s="131" t="s">
        <v>83</v>
      </c>
      <c r="D75" s="180">
        <f>IF(ISERROR(MATCH(ZonaTerritoriale,ElencoZone,0))=TRUE,0,INDEX(MatriceParametri,MATCH(ZonaTerritoriale,ElencoZone,0)+1,9))</f>
        <v>23.01</v>
      </c>
      <c r="E75" s="129"/>
      <c r="F75" s="165">
        <f>PRODUCT(D73,D75)</f>
        <v>0</v>
      </c>
      <c r="G75" s="22"/>
      <c r="H75" s="180">
        <f>IF(ISERROR(MATCH(ZonaTerritoriale,ElencoZone,0))=TRUE,0,INDEX(MatriceParametri,MATCH(ZonaTerritoriale,ElencoZone,0)+1,9))</f>
        <v>23.01</v>
      </c>
      <c r="I75" s="129"/>
      <c r="J75" s="165">
        <f>PRODUCT(H73,H75)</f>
        <v>0</v>
      </c>
      <c r="K75" s="145"/>
      <c r="L75" s="22"/>
      <c r="M75" s="143"/>
      <c r="N75" s="127"/>
      <c r="O75" s="17"/>
    </row>
    <row r="76" spans="1:15" s="12" customFormat="1" ht="12.75" customHeight="1" x14ac:dyDescent="0.2">
      <c r="A76" s="21"/>
      <c r="B76" s="128"/>
      <c r="C76" s="131" t="s">
        <v>84</v>
      </c>
      <c r="D76" s="180">
        <f>IF(ISERROR(MATCH(ZonaTerritoriale,ElencoZone,0))=TRUE,0,INDEX(MatriceParametri,MATCH(ZonaTerritoriale,ElencoZone,0)+2,9))</f>
        <v>0</v>
      </c>
      <c r="E76" s="129"/>
      <c r="F76" s="165">
        <f>PRODUCT(D73,D76)</f>
        <v>0</v>
      </c>
      <c r="G76" s="22"/>
      <c r="H76" s="180">
        <f>IF(ISERROR(MATCH(ZonaTerritoriale,ElencoZone,0))=TRUE,0,INDEX(MatriceParametri,MATCH(ZonaTerritoriale,ElencoZone,0)+2,9))</f>
        <v>0</v>
      </c>
      <c r="I76" s="129"/>
      <c r="J76" s="165">
        <f>PRODUCT(H73,H76)</f>
        <v>0</v>
      </c>
      <c r="K76" s="145"/>
      <c r="L76" s="22"/>
      <c r="M76" s="22"/>
      <c r="N76" s="127"/>
      <c r="O76" s="17"/>
    </row>
    <row r="77" spans="1:15" s="326" customFormat="1" ht="20.100000000000001" customHeight="1" x14ac:dyDescent="0.2">
      <c r="A77" s="318"/>
      <c r="B77" s="330" t="str">
        <f>Parametri_DestUsoPersonalizzazione5</f>
        <v>Industriale alberghiera (altre tipologie)</v>
      </c>
      <c r="C77" s="329"/>
      <c r="D77" s="890">
        <f>Ou_UsoIniziale_ParSil_ParVirt</f>
        <v>0</v>
      </c>
      <c r="E77" s="890"/>
      <c r="F77" s="890"/>
      <c r="G77" s="323"/>
      <c r="H77" s="890">
        <f>Ou_NuovaEd_ParSil_ParVirt</f>
        <v>0</v>
      </c>
      <c r="I77" s="890"/>
      <c r="J77" s="890"/>
      <c r="K77" s="328"/>
      <c r="L77" s="323"/>
      <c r="M77" s="323"/>
      <c r="N77" s="324"/>
      <c r="O77" s="325"/>
    </row>
    <row r="78" spans="1:15" s="8" customFormat="1" ht="12.75" customHeight="1" x14ac:dyDescent="0.2">
      <c r="A78" s="21"/>
      <c r="B78" s="130"/>
      <c r="C78" s="131" t="s">
        <v>82</v>
      </c>
      <c r="D78" s="177">
        <f>IF(ISERROR(MATCH(ZonaTerritoriale,ElencoZone,0))=TRUE,0,INDEX(MatriceParametri,MATCH(ZonaTerritoriale,ElencoZone,0),11))</f>
        <v>27.55</v>
      </c>
      <c r="E78" s="129"/>
      <c r="F78" s="165">
        <f>PRODUCT(D77,D78)</f>
        <v>0</v>
      </c>
      <c r="G78" s="167"/>
      <c r="H78" s="177">
        <f>IF(ISERROR(MATCH(ZonaTerritoriale,ElencoZone,0))=TRUE,0,INDEX(MatriceParametri,MATCH(ZonaTerritoriale,ElencoZone,0),11))</f>
        <v>27.55</v>
      </c>
      <c r="I78" s="129"/>
      <c r="J78" s="165">
        <f>PRODUCT(H77,H78)</f>
        <v>0</v>
      </c>
      <c r="K78" s="145"/>
      <c r="L78" s="22"/>
      <c r="M78" s="143"/>
      <c r="N78" s="127"/>
      <c r="O78" s="1"/>
    </row>
    <row r="79" spans="1:15" s="8" customFormat="1" ht="12.75" customHeight="1" x14ac:dyDescent="0.2">
      <c r="A79" s="21"/>
      <c r="B79" s="128"/>
      <c r="C79" s="131" t="s">
        <v>83</v>
      </c>
      <c r="D79" s="178">
        <f>IF(ISERROR(MATCH(ZonaTerritoriale,ElencoZone,0))=TRUE,0,INDEX(MatriceParametri,MATCH(ZonaTerritoriale,ElencoZone,0)+1,11))</f>
        <v>25.71</v>
      </c>
      <c r="E79" s="129"/>
      <c r="F79" s="165">
        <f>PRODUCT(D77,D79)</f>
        <v>0</v>
      </c>
      <c r="G79" s="22"/>
      <c r="H79" s="178">
        <f>IF(ISERROR(MATCH(ZonaTerritoriale,ElencoZone,0))=TRUE,0,INDEX(MatriceParametri,MATCH(ZonaTerritoriale,ElencoZone,0)+1,11))</f>
        <v>25.71</v>
      </c>
      <c r="I79" s="129"/>
      <c r="J79" s="165">
        <f>PRODUCT(H77,H79)</f>
        <v>0</v>
      </c>
      <c r="K79" s="145"/>
      <c r="L79" s="22"/>
      <c r="M79" s="143"/>
      <c r="N79" s="127"/>
      <c r="O79" s="1"/>
    </row>
    <row r="80" spans="1:15" s="12" customFormat="1" ht="12.75" customHeight="1" x14ac:dyDescent="0.2">
      <c r="A80" s="21"/>
      <c r="B80" s="128"/>
      <c r="C80" s="131" t="s">
        <v>84</v>
      </c>
      <c r="D80" s="180">
        <f>IF(ISERROR(MATCH(ZonaTerritoriale,ElencoZone,0))=TRUE,0,INDEX(MatriceParametri,MATCH(ZonaTerritoriale,ElencoZone,0)+2,11))</f>
        <v>0</v>
      </c>
      <c r="E80" s="129"/>
      <c r="F80" s="165">
        <f>PRODUCT(D77,D80)</f>
        <v>0</v>
      </c>
      <c r="G80" s="22"/>
      <c r="H80" s="180">
        <f>IF(ISERROR(MATCH(ZonaTerritoriale,ElencoZone,0))=TRUE,0,INDEX(MatriceParametri,MATCH(ZonaTerritoriale,ElencoZone,0)+2,11))</f>
        <v>0</v>
      </c>
      <c r="I80" s="129"/>
      <c r="J80" s="165">
        <f>PRODUCT(H77,H80)</f>
        <v>0</v>
      </c>
      <c r="K80" s="145"/>
      <c r="L80" s="22"/>
      <c r="M80" s="22"/>
      <c r="N80" s="127"/>
      <c r="O80" s="17"/>
    </row>
    <row r="81" spans="1:15" s="326" customFormat="1" ht="20.100000000000001" customHeight="1" x14ac:dyDescent="0.2">
      <c r="A81" s="318"/>
      <c r="B81" s="330" t="str">
        <f>Parametri_DestUsoPersonalizzazione6</f>
        <v>Attività direzionali e commerciali</v>
      </c>
      <c r="C81" s="329"/>
      <c r="D81" s="890">
        <f>Ou_UsoIniziale_CultSan_ParVirt</f>
        <v>0</v>
      </c>
      <c r="E81" s="890"/>
      <c r="F81" s="890"/>
      <c r="G81" s="323"/>
      <c r="H81" s="890">
        <f>Ou_NuovaEd_CultSan_ParVirt</f>
        <v>0</v>
      </c>
      <c r="I81" s="890"/>
      <c r="J81" s="890"/>
      <c r="K81" s="328"/>
      <c r="L81" s="323"/>
      <c r="M81" s="323"/>
      <c r="N81" s="324"/>
      <c r="O81" s="325"/>
    </row>
    <row r="82" spans="1:15" s="8" customFormat="1" ht="12.75" customHeight="1" x14ac:dyDescent="0.2">
      <c r="A82" s="21"/>
      <c r="B82" s="130"/>
      <c r="C82" s="131" t="s">
        <v>82</v>
      </c>
      <c r="D82" s="177">
        <f>IF(ISERROR(MATCH(ZonaTerritoriale,ElencoZone,0))=TRUE,0,INDEX(MatriceParametri,MATCH(ZonaTerritoriale,ElencoZone,0),13))</f>
        <v>71.98</v>
      </c>
      <c r="E82" s="129"/>
      <c r="F82" s="165">
        <f>PRODUCT(D81,D82)</f>
        <v>0</v>
      </c>
      <c r="G82" s="167"/>
      <c r="H82" s="177">
        <f>IF(ISERROR(MATCH(ZonaTerritoriale,ElencoZone,0))=TRUE,0,INDEX(MatriceParametri,MATCH(ZonaTerritoriale,ElencoZone,0),13))</f>
        <v>71.98</v>
      </c>
      <c r="I82" s="129"/>
      <c r="J82" s="165">
        <f>PRODUCT(H81,H82)</f>
        <v>0</v>
      </c>
      <c r="K82" s="145"/>
      <c r="L82" s="22"/>
      <c r="M82" s="143"/>
      <c r="N82" s="127"/>
      <c r="O82" s="1"/>
    </row>
    <row r="83" spans="1:15" s="8" customFormat="1" ht="12.75" customHeight="1" x14ac:dyDescent="0.2">
      <c r="A83" s="21"/>
      <c r="B83" s="128"/>
      <c r="C83" s="131" t="s">
        <v>83</v>
      </c>
      <c r="D83" s="178">
        <f>IF(ISERROR(MATCH(ZonaTerritoriale,ElencoZone,0))=TRUE,0,INDEX(MatriceParametri,MATCH(ZonaTerritoriale,ElencoZone,0)+1,13))</f>
        <v>45.4</v>
      </c>
      <c r="E83" s="129"/>
      <c r="F83" s="165">
        <f>PRODUCT(D81,D83)</f>
        <v>0</v>
      </c>
      <c r="G83" s="22"/>
      <c r="H83" s="178">
        <f>IF(ISERROR(MATCH(ZonaTerritoriale,ElencoZone,0))=TRUE,0,INDEX(MatriceParametri,MATCH(ZonaTerritoriale,ElencoZone,0)+1,13))</f>
        <v>45.4</v>
      </c>
      <c r="I83" s="129"/>
      <c r="J83" s="165">
        <f>PRODUCT(H81,H83)</f>
        <v>0</v>
      </c>
      <c r="K83" s="145"/>
      <c r="L83" s="22"/>
      <c r="M83" s="143"/>
      <c r="N83" s="127"/>
      <c r="O83" s="1"/>
    </row>
    <row r="84" spans="1:15" s="12" customFormat="1" ht="12.75" customHeight="1" x14ac:dyDescent="0.2">
      <c r="A84" s="21"/>
      <c r="B84" s="128"/>
      <c r="C84" s="131" t="s">
        <v>84</v>
      </c>
      <c r="D84" s="180">
        <f>IF(ISERROR(MATCH(ZonaTerritoriale,ElencoZone,0))=TRUE,0,INDEX(MatriceParametri,MATCH(ZonaTerritoriale,ElencoZone,0)+2,13))</f>
        <v>0</v>
      </c>
      <c r="E84" s="129"/>
      <c r="F84" s="165">
        <f>PRODUCT(D81,D84)</f>
        <v>0</v>
      </c>
      <c r="G84" s="22"/>
      <c r="H84" s="180">
        <f>IF(ISERROR(MATCH(ZonaTerritoriale,ElencoZone,0))=TRUE,0,INDEX(MatriceParametri,MATCH(ZonaTerritoriale,ElencoZone,0)+2,13))</f>
        <v>0</v>
      </c>
      <c r="I84" s="129"/>
      <c r="J84" s="165">
        <f>PRODUCT(H81,H84)</f>
        <v>0</v>
      </c>
      <c r="K84" s="145"/>
      <c r="L84" s="22"/>
      <c r="M84" s="22"/>
      <c r="N84" s="127"/>
      <c r="O84" s="17"/>
    </row>
    <row r="85" spans="1:15" s="326" customFormat="1" ht="20.100000000000001" customHeight="1" x14ac:dyDescent="0.2">
      <c r="A85" s="318"/>
      <c r="B85" s="330" t="str">
        <f>Parametri_DestUsoPersonalizzazione7</f>
        <v>Parcheggi coperti e solos autoveicoli (per posto macchina)</v>
      </c>
      <c r="C85" s="329"/>
      <c r="D85" s="890">
        <f>Ou_UsoIniziale_AttSpor_ParVirt</f>
        <v>0</v>
      </c>
      <c r="E85" s="890"/>
      <c r="F85" s="890"/>
      <c r="G85" s="323"/>
      <c r="H85" s="890">
        <f>Ou_NuovaEd_AttSpor_ParVirt</f>
        <v>0</v>
      </c>
      <c r="I85" s="890"/>
      <c r="J85" s="890"/>
      <c r="K85" s="328"/>
      <c r="L85" s="323"/>
      <c r="M85" s="323"/>
      <c r="N85" s="324"/>
      <c r="O85" s="325"/>
    </row>
    <row r="86" spans="1:15" s="8" customFormat="1" ht="12.75" customHeight="1" x14ac:dyDescent="0.2">
      <c r="A86" s="21"/>
      <c r="B86" s="130"/>
      <c r="C86" s="131" t="s">
        <v>82</v>
      </c>
      <c r="D86" s="177">
        <f>IF(ISERROR(MATCH(ZonaTerritoriale,ElencoZone,0))=TRUE,0,INDEX(MatriceParametri,MATCH(ZonaTerritoriale,ElencoZone,0),15))</f>
        <v>14.4</v>
      </c>
      <c r="E86" s="129"/>
      <c r="F86" s="165">
        <f>PRODUCT(D85,D86)</f>
        <v>0</v>
      </c>
      <c r="G86" s="167"/>
      <c r="H86" s="177">
        <f>IF(ISERROR(MATCH(ZonaTerritoriale,ElencoZone,0))=TRUE,0,INDEX(MatriceParametri,MATCH(ZonaTerritoriale,ElencoZone,0),15))</f>
        <v>14.4</v>
      </c>
      <c r="I86" s="129"/>
      <c r="J86" s="165">
        <f>PRODUCT(H85,H86)</f>
        <v>0</v>
      </c>
      <c r="K86" s="145"/>
      <c r="L86" s="22"/>
      <c r="M86" s="143"/>
      <c r="N86" s="127"/>
      <c r="O86" s="1"/>
    </row>
    <row r="87" spans="1:15" s="8" customFormat="1" ht="12.75" customHeight="1" x14ac:dyDescent="0.2">
      <c r="A87" s="21"/>
      <c r="B87" s="128"/>
      <c r="C87" s="131" t="s">
        <v>83</v>
      </c>
      <c r="D87" s="178">
        <f>IF(ISERROR(MATCH(ZonaTerritoriale,ElencoZone,0))=TRUE,0,INDEX(MatriceParametri,MATCH(ZonaTerritoriale,ElencoZone,0)+1,15))</f>
        <v>7.2</v>
      </c>
      <c r="E87" s="129"/>
      <c r="F87" s="165">
        <f>PRODUCT(D85,D87)</f>
        <v>0</v>
      </c>
      <c r="G87" s="22"/>
      <c r="H87" s="178">
        <f>IF(ISERROR(MATCH(ZonaTerritoriale,ElencoZone,0))=TRUE,0,INDEX(MatriceParametri,MATCH(ZonaTerritoriale,ElencoZone,0)+1,15))</f>
        <v>7.2</v>
      </c>
      <c r="I87" s="129"/>
      <c r="J87" s="165">
        <f>PRODUCT(H85,H87)</f>
        <v>0</v>
      </c>
      <c r="K87" s="145"/>
      <c r="L87" s="22"/>
      <c r="M87" s="143"/>
      <c r="N87" s="127"/>
      <c r="O87" s="1"/>
    </row>
    <row r="88" spans="1:15" s="12" customFormat="1" ht="12.75" customHeight="1" x14ac:dyDescent="0.2">
      <c r="A88" s="21"/>
      <c r="B88" s="128"/>
      <c r="C88" s="131" t="s">
        <v>84</v>
      </c>
      <c r="D88" s="180">
        <f>IF(ISERROR(MATCH(ZonaTerritoriale,ElencoZone,0))=TRUE,0,INDEX(MatriceParametri,MATCH(ZonaTerritoriale,ElencoZone,0)+2,15))</f>
        <v>0</v>
      </c>
      <c r="E88" s="129"/>
      <c r="F88" s="165">
        <f>PRODUCT(D85,D88)</f>
        <v>0</v>
      </c>
      <c r="G88" s="22"/>
      <c r="H88" s="180">
        <f>IF(ISERROR(MATCH(ZonaTerritoriale,ElencoZone,0))=TRUE,0,INDEX(MatriceParametri,MATCH(ZonaTerritoriale,ElencoZone,0)+2,15))</f>
        <v>0</v>
      </c>
      <c r="I88" s="129"/>
      <c r="J88" s="165">
        <f>PRODUCT(H85,H88)</f>
        <v>0</v>
      </c>
      <c r="K88" s="145"/>
      <c r="L88" s="22"/>
      <c r="M88" s="22"/>
      <c r="N88" s="127"/>
      <c r="O88" s="17"/>
    </row>
    <row r="89" spans="1:15" s="326" customFormat="1" ht="20.100000000000001" customHeight="1" x14ac:dyDescent="0.2">
      <c r="A89" s="318"/>
      <c r="B89" s="330" t="str">
        <f>Parametri_DestUsoPersonalizzazione8</f>
        <v>Attrezzature culturali sanitarie e assistenziali</v>
      </c>
      <c r="C89" s="329"/>
      <c r="D89" s="890">
        <f>Ou_UsoIniziale_AttSpet_ParVirt</f>
        <v>0</v>
      </c>
      <c r="E89" s="890"/>
      <c r="F89" s="890"/>
      <c r="G89" s="323"/>
      <c r="H89" s="890">
        <f>Ou_NuovaEd_AttSpet_ParVirt</f>
        <v>0</v>
      </c>
      <c r="I89" s="890"/>
      <c r="J89" s="890"/>
      <c r="K89" s="328"/>
      <c r="L89" s="323"/>
      <c r="M89" s="323"/>
      <c r="N89" s="324"/>
      <c r="O89" s="325"/>
    </row>
    <row r="90" spans="1:15" s="8" customFormat="1" ht="12.75" customHeight="1" x14ac:dyDescent="0.2">
      <c r="A90" s="21"/>
      <c r="B90" s="130"/>
      <c r="C90" s="131" t="s">
        <v>82</v>
      </c>
      <c r="D90" s="177">
        <f>IF(ISERROR(MATCH(ZonaTerritoriale,ElencoZone,0))=TRUE,0,INDEX(MatriceParametri,MATCH(ZonaTerritoriale,ElencoZone,0),17))</f>
        <v>14.4</v>
      </c>
      <c r="E90" s="129"/>
      <c r="F90" s="165">
        <f>PRODUCT(D89,D90)</f>
        <v>0</v>
      </c>
      <c r="G90" s="167"/>
      <c r="H90" s="177">
        <f>IF(ISERROR(MATCH(ZonaTerritoriale,ElencoZone,0))=TRUE,0,INDEX(MatriceParametri,MATCH(ZonaTerritoriale,ElencoZone,0),17))</f>
        <v>14.4</v>
      </c>
      <c r="I90" s="129"/>
      <c r="J90" s="165">
        <f>PRODUCT(H89,H90)</f>
        <v>0</v>
      </c>
      <c r="K90" s="145"/>
      <c r="L90" s="22"/>
      <c r="M90" s="143"/>
      <c r="N90" s="127"/>
      <c r="O90" s="1"/>
    </row>
    <row r="91" spans="1:15" s="8" customFormat="1" ht="12.75" customHeight="1" x14ac:dyDescent="0.2">
      <c r="A91" s="21"/>
      <c r="B91" s="128"/>
      <c r="C91" s="131" t="s">
        <v>83</v>
      </c>
      <c r="D91" s="178">
        <f>IF(ISERROR(MATCH(ZonaTerritoriale,ElencoZone,0))=TRUE,0,INDEX(MatriceParametri,MATCH(ZonaTerritoriale,ElencoZone,0)+1,17))</f>
        <v>9.08</v>
      </c>
      <c r="E91" s="129"/>
      <c r="F91" s="165">
        <f>PRODUCT(D89,D91)</f>
        <v>0</v>
      </c>
      <c r="G91" s="22"/>
      <c r="H91" s="178">
        <f>IF(ISERROR(MATCH(ZonaTerritoriale,ElencoZone,0))=TRUE,0,INDEX(MatriceParametri,MATCH(ZonaTerritoriale,ElencoZone,0)+1,17))</f>
        <v>9.08</v>
      </c>
      <c r="I91" s="129"/>
      <c r="J91" s="165">
        <f>PRODUCT(H89,H91)</f>
        <v>0</v>
      </c>
      <c r="K91" s="145"/>
      <c r="L91" s="22"/>
      <c r="M91" s="143"/>
      <c r="N91" s="127"/>
      <c r="O91" s="1"/>
    </row>
    <row r="92" spans="1:15" s="12" customFormat="1" ht="12.75" customHeight="1" x14ac:dyDescent="0.2">
      <c r="A92" s="21"/>
      <c r="B92" s="128"/>
      <c r="C92" s="131" t="s">
        <v>84</v>
      </c>
      <c r="D92" s="180">
        <f>IF(ISERROR(MATCH(ZonaTerritoriale,ElencoZone,0))=TRUE,0,INDEX(MatriceParametri,MATCH(ZonaTerritoriale,ElencoZone,0)+2,17))</f>
        <v>0</v>
      </c>
      <c r="E92" s="129"/>
      <c r="F92" s="165">
        <f>PRODUCT(D89,D92)</f>
        <v>0</v>
      </c>
      <c r="G92" s="22"/>
      <c r="H92" s="180">
        <f>IF(ISERROR(MATCH(ZonaTerritoriale,ElencoZone,0))=TRUE,0,INDEX(MatriceParametri,MATCH(ZonaTerritoriale,ElencoZone,0)+2,17))</f>
        <v>0</v>
      </c>
      <c r="I92" s="129"/>
      <c r="J92" s="165">
        <f>PRODUCT(H89,H92)</f>
        <v>0</v>
      </c>
      <c r="K92" s="145"/>
      <c r="L92" s="22"/>
      <c r="M92" s="22"/>
      <c r="N92" s="127"/>
      <c r="O92" s="17"/>
    </row>
    <row r="93" spans="1:15" s="326" customFormat="1" ht="20.100000000000001" customHeight="1" x14ac:dyDescent="0.2">
      <c r="A93" s="318"/>
      <c r="B93" s="330" t="str">
        <f>Parametri_DestUsoPersonalizzazione9</f>
        <v>Attrezzature sportive</v>
      </c>
      <c r="C93" s="329"/>
      <c r="D93" s="890">
        <f>Ou_UsoIniziale_Person1_ParVirt</f>
        <v>0</v>
      </c>
      <c r="E93" s="890"/>
      <c r="F93" s="890"/>
      <c r="G93" s="323"/>
      <c r="H93" s="890">
        <f>Ou_NuovaEd_Person1_ParVirt</f>
        <v>0</v>
      </c>
      <c r="I93" s="890"/>
      <c r="J93" s="890"/>
      <c r="K93" s="328"/>
      <c r="L93" s="323"/>
      <c r="M93" s="323"/>
      <c r="N93" s="324"/>
      <c r="O93" s="325"/>
    </row>
    <row r="94" spans="1:15" s="8" customFormat="1" ht="12.75" customHeight="1" x14ac:dyDescent="0.2">
      <c r="A94" s="21"/>
      <c r="B94" s="130"/>
      <c r="C94" s="131" t="s">
        <v>82</v>
      </c>
      <c r="D94" s="177">
        <f>IF(ISERROR(MATCH(ZonaTerritoriale,ElencoZone,0))=TRUE,0,INDEX(MatriceParametri,MATCH(ZonaTerritoriale,ElencoZone,0),19))</f>
        <v>7.2</v>
      </c>
      <c r="E94" s="129"/>
      <c r="F94" s="165">
        <f>PRODUCT(D93,D94)</f>
        <v>0</v>
      </c>
      <c r="G94" s="167"/>
      <c r="H94" s="177">
        <f>IF(ISERROR(MATCH(ZonaTerritoriale,ElencoZone,0))=TRUE,0,INDEX(MatriceParametri,MATCH(ZonaTerritoriale,ElencoZone,0),19))</f>
        <v>7.2</v>
      </c>
      <c r="I94" s="129"/>
      <c r="J94" s="165">
        <f>PRODUCT(H93,H94)</f>
        <v>0</v>
      </c>
      <c r="K94" s="145"/>
      <c r="L94" s="22"/>
      <c r="M94" s="143"/>
      <c r="N94" s="127"/>
      <c r="O94" s="1"/>
    </row>
    <row r="95" spans="1:15" s="8" customFormat="1" ht="12.75" customHeight="1" x14ac:dyDescent="0.2">
      <c r="A95" s="21"/>
      <c r="B95" s="128"/>
      <c r="C95" s="131" t="s">
        <v>83</v>
      </c>
      <c r="D95" s="178">
        <f>IF(ISERROR(MATCH(ZonaTerritoriale,ElencoZone,0))=TRUE,0,INDEX(MatriceParametri,MATCH(ZonaTerritoriale,ElencoZone,0)+1,19))</f>
        <v>4.54</v>
      </c>
      <c r="E95" s="129"/>
      <c r="F95" s="165">
        <f>PRODUCT(D93,D95)</f>
        <v>0</v>
      </c>
      <c r="G95" s="22"/>
      <c r="H95" s="178">
        <f>IF(ISERROR(MATCH(ZonaTerritoriale,ElencoZone,0))=TRUE,0,INDEX(MatriceParametri,MATCH(ZonaTerritoriale,ElencoZone,0)+1,19))</f>
        <v>4.54</v>
      </c>
      <c r="I95" s="129"/>
      <c r="J95" s="165">
        <f>PRODUCT(H93,H95)</f>
        <v>0</v>
      </c>
      <c r="K95" s="145"/>
      <c r="L95" s="22"/>
      <c r="M95" s="143"/>
      <c r="N95" s="127"/>
      <c r="O95" s="1"/>
    </row>
    <row r="96" spans="1:15" s="12" customFormat="1" ht="12.75" customHeight="1" x14ac:dyDescent="0.2">
      <c r="A96" s="21"/>
      <c r="B96" s="128"/>
      <c r="C96" s="131" t="s">
        <v>84</v>
      </c>
      <c r="D96" s="180">
        <f>IF(ISERROR(MATCH(ZonaTerritoriale,ElencoZone,0))=TRUE,0,INDEX(MatriceParametri,MATCH(ZonaTerritoriale,ElencoZone,0)+2,19))</f>
        <v>0</v>
      </c>
      <c r="E96" s="129"/>
      <c r="F96" s="165">
        <f>PRODUCT(D93,D96)</f>
        <v>0</v>
      </c>
      <c r="G96" s="22"/>
      <c r="H96" s="180">
        <f>IF(ISERROR(MATCH(ZonaTerritoriale,ElencoZone,0))=TRUE,0,INDEX(MatriceParametri,MATCH(ZonaTerritoriale,ElencoZone,0)+2,19))</f>
        <v>0</v>
      </c>
      <c r="I96" s="129"/>
      <c r="J96" s="165">
        <f>PRODUCT(H93,H96)</f>
        <v>0</v>
      </c>
      <c r="K96" s="145"/>
      <c r="L96" s="22"/>
      <c r="M96" s="22"/>
      <c r="N96" s="127"/>
      <c r="O96" s="17"/>
    </row>
    <row r="97" spans="1:16" s="326" customFormat="1" ht="20.100000000000001" customHeight="1" x14ac:dyDescent="0.2">
      <c r="A97" s="318"/>
      <c r="B97" s="330" t="str">
        <f>Parametri_DestUsoPersonalizzazione10</f>
        <v>Attrezzature spettacolo</v>
      </c>
      <c r="C97" s="329"/>
      <c r="D97" s="890">
        <f>Ou_UsoIniziale_Person2_ParVirt</f>
        <v>0</v>
      </c>
      <c r="E97" s="890"/>
      <c r="F97" s="890"/>
      <c r="G97" s="323"/>
      <c r="H97" s="890">
        <f>Ou_NuovaEd_Person2_ParVirt</f>
        <v>0</v>
      </c>
      <c r="I97" s="890"/>
      <c r="J97" s="890"/>
      <c r="K97" s="328"/>
      <c r="L97" s="323"/>
      <c r="M97" s="323"/>
      <c r="N97" s="324"/>
      <c r="O97" s="325"/>
    </row>
    <row r="98" spans="1:16" s="8" customFormat="1" ht="12.75" customHeight="1" x14ac:dyDescent="0.2">
      <c r="A98" s="21"/>
      <c r="B98" s="130"/>
      <c r="C98" s="131" t="s">
        <v>82</v>
      </c>
      <c r="D98" s="177">
        <f>IF(ISERROR(MATCH(ZonaTerritoriale,ElencoZone,0))=TRUE,0,INDEX(MatriceParametri,MATCH(ZonaTerritoriale,ElencoZone,0),21))</f>
        <v>21.6</v>
      </c>
      <c r="E98" s="129"/>
      <c r="F98" s="165">
        <f>PRODUCT(D97,D98)</f>
        <v>0</v>
      </c>
      <c r="G98" s="167"/>
      <c r="H98" s="177">
        <f>IF(ISERROR(MATCH(ZonaTerritoriale,ElencoZone,0))=TRUE,0,INDEX(MatriceParametri,MATCH(ZonaTerritoriale,ElencoZone,0),21))</f>
        <v>21.6</v>
      </c>
      <c r="I98" s="129"/>
      <c r="J98" s="165">
        <f>PRODUCT(H97,H98)</f>
        <v>0</v>
      </c>
      <c r="K98" s="145"/>
      <c r="L98" s="22"/>
      <c r="M98" s="143"/>
      <c r="N98" s="127"/>
      <c r="O98" s="1"/>
    </row>
    <row r="99" spans="1:16" s="8" customFormat="1" ht="12.75" customHeight="1" x14ac:dyDescent="0.2">
      <c r="A99" s="21"/>
      <c r="B99" s="128"/>
      <c r="C99" s="131" t="s">
        <v>83</v>
      </c>
      <c r="D99" s="178">
        <f>IF(ISERROR(MATCH(ZonaTerritoriale,ElencoZone,0))=TRUE,0,INDEX(MatriceParametri,MATCH(ZonaTerritoriale,ElencoZone,0)+1,21))</f>
        <v>13.63</v>
      </c>
      <c r="E99" s="129"/>
      <c r="F99" s="165">
        <f>PRODUCT(D97,D99)</f>
        <v>0</v>
      </c>
      <c r="G99" s="22"/>
      <c r="H99" s="178">
        <f>IF(ISERROR(MATCH(ZonaTerritoriale,ElencoZone,0))=TRUE,0,INDEX(MatriceParametri,MATCH(ZonaTerritoriale,ElencoZone,0)+1,21))</f>
        <v>13.63</v>
      </c>
      <c r="I99" s="129"/>
      <c r="J99" s="165">
        <f>PRODUCT(H97,H99)</f>
        <v>0</v>
      </c>
      <c r="K99" s="145"/>
      <c r="L99" s="22"/>
      <c r="M99" s="143"/>
      <c r="N99" s="127"/>
      <c r="O99" s="1"/>
    </row>
    <row r="100" spans="1:16" s="12" customFormat="1" ht="12.75" customHeight="1" x14ac:dyDescent="0.2">
      <c r="A100" s="21"/>
      <c r="B100" s="128"/>
      <c r="C100" s="131" t="s">
        <v>84</v>
      </c>
      <c r="D100" s="180">
        <f>IF(ISERROR(MATCH(ZonaTerritoriale,ElencoZone,0))=TRUE,0,INDEX(MatriceParametri,MATCH(ZonaTerritoriale,ElencoZone,0)+2,21))</f>
        <v>0</v>
      </c>
      <c r="E100" s="129"/>
      <c r="F100" s="165">
        <f>PRODUCT(D97,D100)</f>
        <v>0</v>
      </c>
      <c r="G100" s="22"/>
      <c r="H100" s="180">
        <f>IF(ISERROR(MATCH(ZonaTerritoriale,ElencoZone,0))=TRUE,0,INDEX(MatriceParametri,MATCH(ZonaTerritoriale,ElencoZone,0)+2,21))</f>
        <v>0</v>
      </c>
      <c r="I100" s="129"/>
      <c r="J100" s="165">
        <f>PRODUCT(H97,H100)</f>
        <v>0</v>
      </c>
      <c r="K100" s="145"/>
      <c r="L100" s="22"/>
      <c r="M100" s="22"/>
      <c r="N100" s="127"/>
      <c r="O100" s="17"/>
    </row>
    <row r="101" spans="1:16" s="326" customFormat="1" ht="20.100000000000001" customHeight="1" x14ac:dyDescent="0.2">
      <c r="A101" s="318"/>
      <c r="B101" s="330" t="str">
        <f>Parametri_DestUsoPersonalizzazione11</f>
        <v>Campeggi (per utente)</v>
      </c>
      <c r="C101" s="329"/>
      <c r="D101" s="890">
        <f>Ou_UsoIniziale_Person3_ParVirt</f>
        <v>0</v>
      </c>
      <c r="E101" s="890"/>
      <c r="F101" s="890"/>
      <c r="G101" s="323"/>
      <c r="H101" s="890">
        <f>Ou_NuovaEd_Person3_ParVirt</f>
        <v>0</v>
      </c>
      <c r="I101" s="890"/>
      <c r="J101" s="890"/>
      <c r="K101" s="328"/>
      <c r="L101" s="323"/>
      <c r="M101" s="323"/>
      <c r="N101" s="324"/>
      <c r="O101" s="325"/>
    </row>
    <row r="102" spans="1:16" s="8" customFormat="1" ht="12.75" customHeight="1" x14ac:dyDescent="0.2">
      <c r="A102" s="21"/>
      <c r="B102" s="130"/>
      <c r="C102" s="131" t="s">
        <v>82</v>
      </c>
      <c r="D102" s="177">
        <f>IF(ISERROR(MATCH(ZonaTerritoriale,ElencoZone,0))=TRUE,0,INDEX(MatriceParametri,MATCH(ZonaTerritoriale,ElencoZone,0),23))</f>
        <v>236.18</v>
      </c>
      <c r="E102" s="129"/>
      <c r="F102" s="165">
        <f>PRODUCT(D101,D102)</f>
        <v>0</v>
      </c>
      <c r="G102" s="167"/>
      <c r="H102" s="177">
        <f>IF(ISERROR(MATCH(ZonaTerritoriale,ElencoZone,0))=TRUE,0,INDEX(MatriceParametri,MATCH(ZonaTerritoriale,ElencoZone,0),23))</f>
        <v>236.18</v>
      </c>
      <c r="I102" s="129"/>
      <c r="J102" s="165">
        <f>PRODUCT(H101,H102)</f>
        <v>0</v>
      </c>
      <c r="K102" s="145"/>
      <c r="L102" s="22"/>
      <c r="M102" s="143"/>
      <c r="N102" s="127"/>
      <c r="O102" s="1"/>
    </row>
    <row r="103" spans="1:16" s="8" customFormat="1" ht="12.75" customHeight="1" x14ac:dyDescent="0.2">
      <c r="A103" s="21"/>
      <c r="B103" s="128"/>
      <c r="C103" s="131" t="s">
        <v>83</v>
      </c>
      <c r="D103" s="178">
        <f>IF(ISERROR(MATCH(ZonaTerritoriale,ElencoZone,0))=TRUE,0,INDEX(MatriceParametri,MATCH(ZonaTerritoriale,ElencoZone,0)+1,23))</f>
        <v>197.13</v>
      </c>
      <c r="E103" s="129"/>
      <c r="F103" s="165">
        <f>PRODUCT(D101,D103)</f>
        <v>0</v>
      </c>
      <c r="G103" s="22"/>
      <c r="H103" s="178">
        <f>IF(ISERROR(MATCH(ZonaTerritoriale,ElencoZone,0))=TRUE,0,INDEX(MatriceParametri,MATCH(ZonaTerritoriale,ElencoZone,0)+1,23))</f>
        <v>197.13</v>
      </c>
      <c r="I103" s="129"/>
      <c r="J103" s="165">
        <f>PRODUCT(H101,H103)</f>
        <v>0</v>
      </c>
      <c r="K103" s="145"/>
      <c r="L103" s="22"/>
      <c r="M103" s="143"/>
      <c r="N103" s="127"/>
      <c r="O103" s="1"/>
    </row>
    <row r="104" spans="1:16" s="12" customFormat="1" ht="12.75" customHeight="1" x14ac:dyDescent="0.2">
      <c r="A104" s="21"/>
      <c r="B104" s="128"/>
      <c r="C104" s="131" t="s">
        <v>84</v>
      </c>
      <c r="D104" s="180">
        <f>IF(ISERROR(MATCH(ZonaTerritoriale,ElencoZone,0))=TRUE,0,INDEX(MatriceParametri,MATCH(ZonaTerritoriale,ElencoZone,0)+2,23))</f>
        <v>0</v>
      </c>
      <c r="E104" s="129"/>
      <c r="F104" s="165">
        <f>PRODUCT(D101,D104)</f>
        <v>0</v>
      </c>
      <c r="G104" s="22"/>
      <c r="H104" s="180">
        <f>IF(ISERROR(MATCH(ZonaTerritoriale,ElencoZone,0))=TRUE,0,INDEX(MatriceParametri,MATCH(ZonaTerritoriale,ElencoZone,0)+2,23))</f>
        <v>0</v>
      </c>
      <c r="I104" s="129"/>
      <c r="J104" s="165">
        <f>PRODUCT(H101,H104)</f>
        <v>0</v>
      </c>
      <c r="K104" s="145"/>
      <c r="L104" s="22"/>
      <c r="M104" s="22"/>
      <c r="N104" s="127"/>
      <c r="O104" s="17"/>
    </row>
    <row r="105" spans="1:16" s="8" customFormat="1" ht="16.5" customHeight="1" x14ac:dyDescent="0.2">
      <c r="A105" s="21"/>
      <c r="B105" s="128"/>
      <c r="C105" s="23"/>
      <c r="D105" s="144"/>
      <c r="E105" s="129"/>
      <c r="F105" s="145"/>
      <c r="G105" s="22"/>
      <c r="H105" s="144"/>
      <c r="I105" s="129"/>
      <c r="J105" s="145"/>
      <c r="K105" s="145"/>
      <c r="L105" s="22"/>
      <c r="M105" s="143"/>
      <c r="N105" s="127"/>
      <c r="O105" s="1"/>
      <c r="P105" s="1"/>
    </row>
    <row r="106" spans="1:16" s="8" customFormat="1" ht="16.5" customHeight="1" x14ac:dyDescent="0.2">
      <c r="A106" s="21"/>
      <c r="B106" s="128"/>
      <c r="C106" s="920" t="s">
        <v>271</v>
      </c>
      <c r="D106" s="920"/>
      <c r="E106" s="920"/>
      <c r="F106" s="920"/>
      <c r="G106" s="920" t="s">
        <v>272</v>
      </c>
      <c r="H106" s="920"/>
      <c r="I106" s="920"/>
      <c r="J106" s="920"/>
      <c r="K106" s="232"/>
      <c r="L106" s="232"/>
      <c r="M106" s="143"/>
      <c r="N106" s="127"/>
      <c r="O106" s="1"/>
    </row>
    <row r="107" spans="1:16" s="8" customFormat="1" ht="12.75" customHeight="1" x14ac:dyDescent="0.2">
      <c r="A107" s="21"/>
      <c r="B107" s="128"/>
      <c r="C107" s="39"/>
      <c r="D107" s="181"/>
      <c r="E107" s="131" t="s">
        <v>82</v>
      </c>
      <c r="F107" s="168">
        <f>F62+F66+F70+F74+F78+F82+F86+F90+F94+F98+F102</f>
        <v>0</v>
      </c>
      <c r="G107" s="22"/>
      <c r="H107" s="181"/>
      <c r="I107" s="131" t="s">
        <v>82</v>
      </c>
      <c r="J107" s="165">
        <f>J62+J66+J70+J74+J78+J82+J86+J90+J94+J98+J102</f>
        <v>0</v>
      </c>
      <c r="K107" s="145"/>
      <c r="L107" s="22"/>
      <c r="M107"/>
      <c r="N107" s="127"/>
      <c r="O107" s="1"/>
    </row>
    <row r="108" spans="1:16" s="8" customFormat="1" ht="12.75" customHeight="1" x14ac:dyDescent="0.2">
      <c r="A108" s="21"/>
      <c r="B108" s="128"/>
      <c r="C108" s="39"/>
      <c r="D108" s="181"/>
      <c r="E108" s="131" t="s">
        <v>83</v>
      </c>
      <c r="F108" s="183">
        <f>F63+F67+F71+F75+F79+F83+F87+F91+F95+F99+F103</f>
        <v>0</v>
      </c>
      <c r="G108" s="22"/>
      <c r="H108" s="181"/>
      <c r="I108" s="131" t="s">
        <v>83</v>
      </c>
      <c r="J108" s="166">
        <f>J63+J67+J71+J75+J79+J83+J87+J91+J95+J99+J103</f>
        <v>0</v>
      </c>
      <c r="K108" s="145"/>
      <c r="L108" s="22"/>
      <c r="M108"/>
      <c r="N108" s="127"/>
      <c r="O108" s="1"/>
    </row>
    <row r="109" spans="1:16" s="8" customFormat="1" ht="12.75" customHeight="1" x14ac:dyDescent="0.2">
      <c r="A109" s="21"/>
      <c r="B109" s="128"/>
      <c r="C109" s="1"/>
      <c r="D109" s="181"/>
      <c r="E109" s="131" t="s">
        <v>84</v>
      </c>
      <c r="F109" s="314">
        <f>F64+F68+F72+F76+F80+F84+F88+F92+F96+F100+F104</f>
        <v>0</v>
      </c>
      <c r="G109" s="22"/>
      <c r="H109" s="181"/>
      <c r="I109" s="131" t="s">
        <v>84</v>
      </c>
      <c r="J109" s="166">
        <f>J64+J68+J72+J76+J80+J84+J88+J92+J96+J100+J104</f>
        <v>0</v>
      </c>
      <c r="K109" s="145"/>
      <c r="L109" s="22"/>
      <c r="M109"/>
      <c r="N109" s="127"/>
      <c r="O109" s="1"/>
    </row>
    <row r="110" spans="1:16" s="8" customFormat="1" ht="12.75" customHeight="1" x14ac:dyDescent="0.2">
      <c r="A110" s="21"/>
      <c r="B110" s="128"/>
      <c r="C110" s="1"/>
      <c r="D110" s="181"/>
      <c r="E110" s="131"/>
      <c r="F110" s="63"/>
      <c r="G110" s="22"/>
      <c r="H110" s="181"/>
      <c r="I110" s="131"/>
      <c r="J110" s="63"/>
      <c r="K110" s="145"/>
      <c r="L110" s="22"/>
      <c r="M110" s="143"/>
      <c r="N110" s="127"/>
      <c r="O110" s="1"/>
    </row>
    <row r="111" spans="1:16" s="8" customFormat="1" ht="12.75" customHeight="1" x14ac:dyDescent="0.2">
      <c r="A111" s="21"/>
      <c r="B111" s="312" t="s">
        <v>268</v>
      </c>
      <c r="C111" s="313"/>
      <c r="D111" s="313"/>
      <c r="E111" s="313"/>
      <c r="F111" s="313"/>
      <c r="G111" s="313"/>
      <c r="H111" s="313"/>
      <c r="I111" s="313"/>
      <c r="J111" s="313"/>
      <c r="K111" s="164"/>
      <c r="L111" s="900">
        <f>IF(oneri_urb_prim_dest_finale-oneri_urb_prim_dest_iniziale&gt;0,oneri_urb_prim_dest_finale-oneri_urb_prim_dest_iniziale,0)</f>
        <v>0</v>
      </c>
      <c r="M111" s="900"/>
      <c r="N111" s="127"/>
      <c r="O111" s="1"/>
    </row>
    <row r="112" spans="1:16" s="8" customFormat="1" ht="12.75" customHeight="1" x14ac:dyDescent="0.2">
      <c r="A112" s="21"/>
      <c r="B112" s="834" t="s">
        <v>269</v>
      </c>
      <c r="C112" s="861"/>
      <c r="D112" s="861"/>
      <c r="E112" s="861"/>
      <c r="F112" s="861"/>
      <c r="G112" s="861"/>
      <c r="H112" s="861"/>
      <c r="I112" s="861"/>
      <c r="J112" s="861"/>
      <c r="K112" s="579"/>
      <c r="L112" s="900">
        <f>IF(oneri_urb_sec_dest_finale-oneri_urb_sec_dest_iniziale&gt;0,oneri_urb_sec_dest_finale-oneri_urb_sec_dest_iniziale,0)</f>
        <v>0</v>
      </c>
      <c r="M112" s="900"/>
      <c r="N112" s="127"/>
      <c r="O112" s="1"/>
    </row>
    <row r="113" spans="1:16" s="8" customFormat="1" ht="12.75" customHeight="1" x14ac:dyDescent="0.2">
      <c r="A113" s="21"/>
      <c r="B113" s="834" t="s">
        <v>270</v>
      </c>
      <c r="C113" s="861"/>
      <c r="D113" s="861"/>
      <c r="E113" s="861"/>
      <c r="F113" s="861"/>
      <c r="G113" s="861"/>
      <c r="H113" s="861"/>
      <c r="I113" s="861"/>
      <c r="J113" s="861"/>
      <c r="K113" s="139"/>
      <c r="L113" s="900">
        <f>IF(smalt_rifiuti_dest_finale-smalt_rifiuti_dest_iniziale&gt;0,smalt_rifiuti_dest_finale-smalt_rifiuti_dest_iniziale,0)</f>
        <v>0</v>
      </c>
      <c r="M113" s="900"/>
      <c r="N113" s="127"/>
      <c r="O113" s="1"/>
      <c r="P113" s="1"/>
    </row>
    <row r="114" spans="1:16" s="8" customFormat="1" ht="16.5" customHeight="1" x14ac:dyDescent="0.2">
      <c r="A114" s="21"/>
      <c r="B114" s="572"/>
      <c r="C114" s="578"/>
      <c r="D114" s="578"/>
      <c r="E114" s="578"/>
      <c r="F114" s="578"/>
      <c r="G114" s="578"/>
      <c r="H114" s="578"/>
      <c r="I114" s="578"/>
      <c r="J114" s="578"/>
      <c r="K114" s="164"/>
      <c r="L114" s="22"/>
      <c r="M114" s="143"/>
      <c r="N114" s="127"/>
      <c r="O114" s="1"/>
      <c r="P114" s="1"/>
    </row>
    <row r="115" spans="1:16" s="12" customFormat="1" ht="16.5" customHeight="1" x14ac:dyDescent="0.2">
      <c r="A115" s="21"/>
      <c r="B115" s="258"/>
      <c r="C115" s="63"/>
      <c r="D115" s="63"/>
      <c r="E115" s="63"/>
      <c r="F115" s="63"/>
      <c r="G115" s="63"/>
      <c r="H115" s="63"/>
      <c r="I115" s="63"/>
      <c r="J115" s="316" t="s">
        <v>105</v>
      </c>
      <c r="K115" s="63"/>
      <c r="L115" s="880">
        <f>ImportoOneriUrb1_NuovaDest+ImportoOneriUrb2_NuovaDest+ImportoOneriSmaltRif_NuovaDest</f>
        <v>0</v>
      </c>
      <c r="M115" s="881"/>
      <c r="N115" s="136"/>
      <c r="O115" s="17"/>
      <c r="P115" s="17"/>
    </row>
    <row r="116" spans="1:16" s="12" customFormat="1" ht="16.5" customHeight="1" x14ac:dyDescent="0.2">
      <c r="A116" s="21"/>
      <c r="B116" s="192"/>
      <c r="C116" s="91"/>
      <c r="D116" s="91"/>
      <c r="E116" s="91"/>
      <c r="F116" s="91"/>
      <c r="G116" s="91"/>
      <c r="H116" s="91"/>
      <c r="I116" s="91"/>
      <c r="J116" s="91"/>
      <c r="K116" s="91"/>
      <c r="L116" s="22"/>
      <c r="M116" s="193"/>
      <c r="N116" s="136"/>
      <c r="O116" s="17"/>
      <c r="P116" s="17"/>
    </row>
    <row r="117" spans="1:16" s="10" customFormat="1" ht="15" customHeight="1" x14ac:dyDescent="0.25">
      <c r="A117" s="32"/>
      <c r="B117" s="913" t="s">
        <v>88</v>
      </c>
      <c r="C117" s="914"/>
      <c r="D117" s="914"/>
      <c r="E117" s="914"/>
      <c r="F117" s="914"/>
      <c r="G117" s="914"/>
      <c r="H117" s="914"/>
      <c r="I117" s="914"/>
      <c r="J117" s="914"/>
      <c r="K117" s="914"/>
      <c r="L117" s="914"/>
      <c r="M117" s="914"/>
      <c r="N117" s="915"/>
      <c r="O117" s="15"/>
    </row>
    <row r="118" spans="1:16" s="12" customFormat="1" ht="12.75" customHeight="1" x14ac:dyDescent="0.2">
      <c r="A118" s="21"/>
      <c r="B118" s="64" t="s">
        <v>192</v>
      </c>
      <c r="C118" s="140"/>
      <c r="D118" s="140"/>
      <c r="E118" s="140"/>
      <c r="F118" s="140"/>
      <c r="G118" s="140"/>
      <c r="H118" s="140"/>
      <c r="I118" s="134"/>
      <c r="J118" s="140"/>
      <c r="K118" s="140"/>
      <c r="L118" s="279" t="str">
        <f>IF(Parametri_MaggiorazioneSottotetti&gt;0, TEXT(Parametri_MaggiorazioneSottotetti,"0%"),"Nessuna")</f>
        <v>10%</v>
      </c>
      <c r="M118" s="79">
        <f>ImportoOneriUrbRecSottPrimaria*Parametri_MaggiorazioneSottotetti</f>
        <v>0</v>
      </c>
      <c r="N118" s="136"/>
      <c r="O118" s="17"/>
    </row>
    <row r="119" spans="1:16" s="12" customFormat="1" ht="12.75" customHeight="1" x14ac:dyDescent="0.2">
      <c r="A119" s="21"/>
      <c r="B119" s="64" t="s">
        <v>192</v>
      </c>
      <c r="C119" s="140"/>
      <c r="D119" s="140"/>
      <c r="E119" s="140"/>
      <c r="F119" s="140"/>
      <c r="G119" s="137"/>
      <c r="H119" s="137"/>
      <c r="I119" s="138"/>
      <c r="J119" s="140"/>
      <c r="K119" s="140"/>
      <c r="L119" s="279" t="str">
        <f>IF(Parametri_MaggiorazioneSottotetti&gt;0, TEXT(Parametri_MaggiorazioneSottotetti,"0%"),"Nessuna")</f>
        <v>10%</v>
      </c>
      <c r="M119" s="79">
        <f>ImportoOneriUrbRecSottSecondaria*Parametri_MaggiorazioneSottotetti</f>
        <v>0</v>
      </c>
      <c r="N119" s="136"/>
      <c r="O119" s="17"/>
    </row>
    <row r="120" spans="1:16" s="12" customFormat="1" ht="12.75" customHeight="1" x14ac:dyDescent="0.2">
      <c r="A120" s="21"/>
      <c r="B120" s="64" t="s">
        <v>195</v>
      </c>
      <c r="C120" s="57"/>
      <c r="D120" s="57"/>
      <c r="E120" s="57"/>
      <c r="F120" s="146"/>
      <c r="G120" s="57"/>
      <c r="H120" s="57"/>
      <c r="I120" s="57"/>
      <c r="J120" s="140"/>
      <c r="K120" s="140"/>
      <c r="L120" s="279" t="str">
        <f>IF(Par_PianoCasa_Rid&gt;0, TEXT(Par_PianoCasa_Rid,"0%"),"Nessuna")</f>
        <v>Nessuna</v>
      </c>
      <c r="M120" s="79">
        <f>IF(PianoCasa="Sì",((ImportoOneriUrbanizzazione+ImportoOneriUrbanizzazione_NuovaDest+CC_AltriCosti_ValoreMaggOnPrimRecSott+CC_AltriCosti_ValoreMaggOnRecSott)*Par_PianoCasa_RidCC),0)</f>
        <v>0</v>
      </c>
      <c r="N120" s="136" t="s">
        <v>159</v>
      </c>
      <c r="O120" s="17"/>
    </row>
    <row r="121" spans="1:16" s="12" customFormat="1" ht="12.75" customHeight="1" x14ac:dyDescent="0.2">
      <c r="A121" s="21"/>
      <c r="B121" s="86" t="s">
        <v>223</v>
      </c>
      <c r="C121" s="57"/>
      <c r="D121" s="57"/>
      <c r="E121" s="57"/>
      <c r="F121" s="57"/>
      <c r="G121" s="137"/>
      <c r="H121" s="137"/>
      <c r="I121" s="138"/>
      <c r="J121" s="140"/>
      <c r="K121" s="140"/>
      <c r="L121" s="221"/>
      <c r="M121" s="79">
        <f>IF(InSanatoria="Si (onerosa)",ImportoOneriUrb1+CC_AltriCosti_ValoreMaggOnPrimRecSott,0)</f>
        <v>0</v>
      </c>
      <c r="N121" s="136"/>
      <c r="O121" s="17"/>
    </row>
    <row r="122" spans="1:16" s="12" customFormat="1" ht="12.75" customHeight="1" x14ac:dyDescent="0.2">
      <c r="A122" s="21"/>
      <c r="B122" s="86" t="s">
        <v>224</v>
      </c>
      <c r="C122" s="57"/>
      <c r="D122" s="57"/>
      <c r="E122" s="57"/>
      <c r="F122" s="57"/>
      <c r="G122" s="137"/>
      <c r="H122" s="137"/>
      <c r="I122" s="138"/>
      <c r="J122" s="140"/>
      <c r="K122" s="140"/>
      <c r="L122" s="221"/>
      <c r="M122" s="79">
        <f>IF(InSanatoria="Si (onerosa)",ImportoOneriUrb2+CC_AltriCosti_ValoreMaggOnRecSott,0)</f>
        <v>0</v>
      </c>
      <c r="N122" s="136"/>
      <c r="O122" s="17"/>
    </row>
    <row r="123" spans="1:16" s="12" customFormat="1" ht="12.75" customHeight="1" x14ac:dyDescent="0.2">
      <c r="A123" s="21"/>
      <c r="B123" s="86" t="s">
        <v>155</v>
      </c>
      <c r="C123" s="66"/>
      <c r="D123" s="66"/>
      <c r="E123" s="66"/>
      <c r="F123" s="66"/>
      <c r="G123" s="137"/>
      <c r="H123" s="137"/>
      <c r="I123" s="138"/>
      <c r="J123" s="140"/>
      <c r="K123" s="140"/>
      <c r="L123" s="221"/>
      <c r="M123" s="85">
        <f>Oneri_Urb_Prim_Corrisposti</f>
        <v>0</v>
      </c>
      <c r="N123" s="136" t="s">
        <v>159</v>
      </c>
      <c r="O123" s="17"/>
    </row>
    <row r="124" spans="1:16" s="12" customFormat="1" ht="12.75" customHeight="1" x14ac:dyDescent="0.2">
      <c r="A124" s="21"/>
      <c r="B124" s="86" t="s">
        <v>152</v>
      </c>
      <c r="C124" s="66"/>
      <c r="D124" s="66"/>
      <c r="E124" s="66"/>
      <c r="F124" s="66"/>
      <c r="G124" s="137"/>
      <c r="H124" s="137"/>
      <c r="I124" s="138"/>
      <c r="J124" s="140"/>
      <c r="K124" s="140"/>
      <c r="L124" s="221"/>
      <c r="M124" s="85">
        <f>Oneri_Urb_Sec_Corrisposti</f>
        <v>0</v>
      </c>
      <c r="N124" s="136" t="s">
        <v>159</v>
      </c>
      <c r="O124" s="17"/>
    </row>
    <row r="125" spans="1:16" s="12" customFormat="1" ht="15" customHeight="1" x14ac:dyDescent="0.2">
      <c r="A125" s="21"/>
      <c r="B125" s="938" t="s">
        <v>105</v>
      </c>
      <c r="C125" s="843"/>
      <c r="D125" s="843"/>
      <c r="E125" s="843"/>
      <c r="F125" s="843"/>
      <c r="G125" s="843"/>
      <c r="H125" s="843"/>
      <c r="I125" s="843"/>
      <c r="J125" s="843"/>
      <c r="K125" s="573"/>
      <c r="L125" s="880">
        <f>CC_AltriCosti_ValoreMaggOnPrimRecSott+CC_AltriCosti_ValoreMaggOnRecSott-Oneri_RiduzionePianoCasa+CC_SanzioneOneriUrbPrim+CC_SanzioneOneriUrbSec-M123-M124</f>
        <v>0</v>
      </c>
      <c r="M125" s="881"/>
      <c r="N125" s="136"/>
      <c r="O125" s="17"/>
    </row>
    <row r="126" spans="1:16" s="12" customFormat="1" ht="12.75" customHeight="1" thickBot="1" x14ac:dyDescent="0.25">
      <c r="A126" s="21"/>
      <c r="B126" s="215"/>
      <c r="C126" s="216"/>
      <c r="D126" s="216"/>
      <c r="E126" s="216"/>
      <c r="F126" s="216"/>
      <c r="G126" s="217"/>
      <c r="H126" s="217"/>
      <c r="I126" s="142"/>
      <c r="J126" s="218"/>
      <c r="K126" s="218"/>
      <c r="L126" s="142"/>
      <c r="M126" s="219"/>
      <c r="N126" s="195"/>
      <c r="O126" s="17"/>
    </row>
    <row r="127" spans="1:16" s="12" customFormat="1" ht="12.75" customHeight="1" x14ac:dyDescent="0.2">
      <c r="A127" s="21"/>
      <c r="B127" s="17"/>
      <c r="C127" s="226"/>
      <c r="D127" s="226"/>
      <c r="E127" s="226"/>
      <c r="F127" s="226"/>
      <c r="G127" s="226"/>
      <c r="H127" s="226"/>
      <c r="I127" s="226"/>
      <c r="J127" s="254" t="s">
        <v>218</v>
      </c>
      <c r="K127" s="254"/>
      <c r="L127" s="939">
        <f>ImportoOneriUrb2+ImportoOneriUrb2_NuovaDest</f>
        <v>0</v>
      </c>
      <c r="M127" s="940"/>
      <c r="N127" s="220"/>
      <c r="O127" s="17"/>
    </row>
    <row r="128" spans="1:16" s="12" customFormat="1" ht="12.75" customHeight="1" x14ac:dyDescent="0.2">
      <c r="A128" s="21"/>
      <c r="B128" s="17"/>
      <c r="C128" s="227"/>
      <c r="D128" s="227"/>
      <c r="E128" s="227"/>
      <c r="F128" s="227"/>
      <c r="G128" s="227"/>
      <c r="H128" s="227"/>
      <c r="I128" s="227"/>
      <c r="J128" s="255" t="s">
        <v>219</v>
      </c>
      <c r="K128" s="255"/>
      <c r="L128" s="917">
        <f>ImportoOneriUrb2+ImportoOneriUrb2_NuovaDest</f>
        <v>0</v>
      </c>
      <c r="M128" s="918"/>
      <c r="N128" s="199"/>
      <c r="O128" s="17"/>
    </row>
    <row r="129" spans="1:15" s="12" customFormat="1" ht="12.75" customHeight="1" x14ac:dyDescent="0.2">
      <c r="A129" s="21"/>
      <c r="B129" s="21"/>
      <c r="C129" s="227"/>
      <c r="D129" s="227"/>
      <c r="E129" s="227"/>
      <c r="F129" s="227"/>
      <c r="G129" s="227"/>
      <c r="H129" s="227"/>
      <c r="I129" s="227"/>
      <c r="J129" s="255" t="s">
        <v>220</v>
      </c>
      <c r="K129" s="255"/>
      <c r="L129" s="917">
        <f>ImportoOneriSmaltimentoRif+ImportoOneriSmaltRif_NuovaDest</f>
        <v>0</v>
      </c>
      <c r="M129" s="918"/>
      <c r="N129" s="199"/>
      <c r="O129" s="17"/>
    </row>
    <row r="130" spans="1:15" s="12" customFormat="1" ht="12.75" customHeight="1" thickBot="1" x14ac:dyDescent="0.25">
      <c r="A130" s="21"/>
      <c r="B130" s="21"/>
      <c r="C130" s="227"/>
      <c r="D130" s="227"/>
      <c r="E130" s="227"/>
      <c r="F130" s="227"/>
      <c r="G130" s="227"/>
      <c r="H130" s="227"/>
      <c r="I130" s="227"/>
      <c r="J130" s="255" t="s">
        <v>88</v>
      </c>
      <c r="K130" s="255"/>
      <c r="L130" s="917">
        <f>ImportoOneriUrbanizzazione_AltriCosti</f>
        <v>0</v>
      </c>
      <c r="M130" s="918"/>
      <c r="N130" s="199"/>
      <c r="O130" s="17"/>
    </row>
    <row r="131" spans="1:15" s="12" customFormat="1" ht="15" customHeight="1" thickBot="1" x14ac:dyDescent="0.25">
      <c r="A131" s="21"/>
      <c r="B131" s="230"/>
      <c r="C131" s="230"/>
      <c r="D131" s="230"/>
      <c r="E131" s="230"/>
      <c r="F131" s="230"/>
      <c r="G131" s="230"/>
      <c r="H131" s="230"/>
      <c r="I131" s="230"/>
      <c r="J131" s="194" t="s">
        <v>78</v>
      </c>
      <c r="K131" s="231"/>
      <c r="L131" s="878">
        <f>IF((ImportoOneriUrbanizzazione+ImportoOneriUrbanizzazione_NuovaDest+CC_AltriCosti_ValoreMaggOnPrimRecSott+CC_AltriCosti_ValoreMaggOnRecSott-Oneri_RiduzionePianoCasa+CC_SanzioneOneriUrbPrim+CC_SanzioneOneriUrbSec)-Oneri_Urb_Prim_Corrisposti-Oneri_Urb_Sec_Corrisposti&gt;0,(ImportoOneriUrbanizzazione+ImportoOneriUrbanizzazione_NuovaDest+CC_AltriCosti_ValoreMaggOnPrimRecSott+CC_AltriCosti_ValoreMaggOnRecSott-Oneri_RiduzionePianoCasa+CC_SanzioneOneriUrbPrim+CC_SanzioneOneriUrbSec)-Oneri_Urb_Prim_Corrisposti-Oneri_Urb_Sec_Corrisposti,0)</f>
        <v>0</v>
      </c>
      <c r="M131" s="879"/>
      <c r="N131" s="199"/>
      <c r="O131" s="17"/>
    </row>
    <row r="132" spans="1:15" ht="16.5" customHeight="1" thickBot="1" x14ac:dyDescent="0.25">
      <c r="A132" s="21"/>
      <c r="B132" s="22"/>
      <c r="C132" s="23"/>
      <c r="D132" s="24"/>
      <c r="E132" s="25"/>
      <c r="F132" s="24"/>
      <c r="G132" s="22"/>
      <c r="H132" s="22"/>
      <c r="I132" s="22"/>
      <c r="J132" s="22"/>
      <c r="K132" s="22"/>
      <c r="L132" s="22"/>
      <c r="M132" s="22"/>
      <c r="N132" s="21"/>
    </row>
    <row r="133" spans="1:15" s="10" customFormat="1" ht="15" customHeight="1" x14ac:dyDescent="0.25">
      <c r="A133" s="32"/>
      <c r="B133" s="71" t="s">
        <v>142</v>
      </c>
      <c r="C133" s="147"/>
      <c r="D133" s="148"/>
      <c r="E133" s="148"/>
      <c r="F133" s="148"/>
      <c r="G133" s="148"/>
      <c r="H133" s="148"/>
      <c r="I133" s="148"/>
      <c r="J133" s="148"/>
      <c r="K133" s="148"/>
      <c r="L133" s="148"/>
      <c r="M133" s="148"/>
      <c r="N133" s="149"/>
      <c r="O133" s="15"/>
    </row>
    <row r="134" spans="1:15" s="10" customFormat="1" ht="15" customHeight="1" x14ac:dyDescent="0.25">
      <c r="A134" s="32"/>
      <c r="B134" s="340"/>
      <c r="C134" s="131"/>
      <c r="D134" s="22"/>
      <c r="E134" s="22"/>
      <c r="F134" s="22"/>
      <c r="G134" s="22"/>
      <c r="H134" s="22"/>
      <c r="I134" s="22"/>
      <c r="J134" s="22"/>
      <c r="K134" s="22"/>
      <c r="L134" s="22"/>
      <c r="M134" s="22"/>
      <c r="N134" s="136"/>
      <c r="O134" s="15"/>
    </row>
    <row r="135" spans="1:15" s="10" customFormat="1" ht="15" customHeight="1" x14ac:dyDescent="0.25">
      <c r="A135" s="32"/>
      <c r="B135" s="336" t="s">
        <v>142</v>
      </c>
      <c r="C135" s="131"/>
      <c r="D135" s="22"/>
      <c r="E135" s="22"/>
      <c r="F135" s="22"/>
      <c r="G135" s="22"/>
      <c r="H135" s="22"/>
      <c r="I135" s="22"/>
      <c r="J135" s="22"/>
      <c r="K135" s="22"/>
      <c r="L135" s="22"/>
      <c r="M135" s="22"/>
      <c r="N135" s="136"/>
      <c r="O135" s="15"/>
    </row>
    <row r="136" spans="1:15" s="11" customFormat="1" ht="15" customHeight="1" x14ac:dyDescent="0.25">
      <c r="A136" s="28"/>
      <c r="B136" s="128"/>
      <c r="C136" s="131"/>
      <c r="D136" s="874" t="s">
        <v>5</v>
      </c>
      <c r="E136" s="874"/>
      <c r="F136" s="874"/>
      <c r="G136" s="22"/>
      <c r="H136" s="874" t="s">
        <v>0</v>
      </c>
      <c r="I136" s="874"/>
      <c r="J136" s="874"/>
      <c r="K136" s="577"/>
      <c r="L136" s="28"/>
      <c r="M136" s="576"/>
      <c r="N136" s="126"/>
      <c r="O136" s="16"/>
    </row>
    <row r="137" spans="1:15" s="12" customFormat="1" ht="12.75" customHeight="1" x14ac:dyDescent="0.2">
      <c r="A137" s="21"/>
      <c r="B137" s="919" t="s">
        <v>1</v>
      </c>
      <c r="C137" s="150" t="s">
        <v>86</v>
      </c>
      <c r="D137" s="196">
        <f ca="1">CostoCost_NuovaCost_ContrBaseMinistAliq</f>
        <v>6</v>
      </c>
      <c r="E137" s="25" t="s">
        <v>3</v>
      </c>
      <c r="F137" s="198">
        <f ca="1">'Costo Costruzione'!F25</f>
        <v>0</v>
      </c>
      <c r="G137" s="150" t="s">
        <v>86</v>
      </c>
      <c r="H137" s="196">
        <f ca="1">CostoCost_Rist_ContrBaseMinistAliq</f>
        <v>5</v>
      </c>
      <c r="I137" s="25" t="s">
        <v>3</v>
      </c>
      <c r="J137" s="198">
        <f ca="1">CostoCost_Rist_ContrBaseMinistValore</f>
        <v>0</v>
      </c>
      <c r="K137" s="224"/>
      <c r="L137" s="873">
        <f ca="1">SUM(F137,F138,J137,J138)</f>
        <v>0</v>
      </c>
      <c r="M137" s="873"/>
      <c r="N137" s="127"/>
      <c r="O137" s="18"/>
    </row>
    <row r="138" spans="1:15" s="12" customFormat="1" ht="12.75" customHeight="1" x14ac:dyDescent="0.2">
      <c r="A138" s="21"/>
      <c r="B138" s="836"/>
      <c r="C138" s="131" t="s">
        <v>4</v>
      </c>
      <c r="D138" s="196">
        <f>CostoCost_NuovaCost_ContrComEstComAliq</f>
        <v>0.1</v>
      </c>
      <c r="E138" s="25" t="s">
        <v>2</v>
      </c>
      <c r="F138" s="198">
        <f ca="1">'Costo Costruzione'!F26</f>
        <v>0</v>
      </c>
      <c r="G138" s="131" t="s">
        <v>4</v>
      </c>
      <c r="H138" s="196">
        <f>CostoCost_Rist_ContrComEstComAliq</f>
        <v>0.1</v>
      </c>
      <c r="I138" s="25" t="s">
        <v>2</v>
      </c>
      <c r="J138" s="198">
        <f ca="1">'Costo Costruzione'!M26</f>
        <v>0</v>
      </c>
      <c r="K138" s="154"/>
      <c r="L138" s="873"/>
      <c r="M138" s="873"/>
      <c r="N138" s="127"/>
      <c r="O138" s="18"/>
    </row>
    <row r="139" spans="1:15" s="12" customFormat="1" ht="12.75" customHeight="1" x14ac:dyDescent="0.2">
      <c r="A139" s="21"/>
      <c r="B139" s="64" t="s">
        <v>150</v>
      </c>
      <c r="C139" s="151" t="s">
        <v>4</v>
      </c>
      <c r="D139" s="196">
        <f>CostoCost_NuovaCost_ContrComEstComAliq</f>
        <v>0.1</v>
      </c>
      <c r="E139" s="25" t="s">
        <v>3</v>
      </c>
      <c r="F139" s="198">
        <f>'Costo Costruzione'!F27</f>
        <v>0</v>
      </c>
      <c r="G139" s="131" t="s">
        <v>4</v>
      </c>
      <c r="H139" s="196">
        <f>CostoCost_Rist_ContrComEstComAliq</f>
        <v>0.1</v>
      </c>
      <c r="I139" s="25" t="s">
        <v>2</v>
      </c>
      <c r="J139" s="198">
        <f>'Costo Costruzione'!M27</f>
        <v>0</v>
      </c>
      <c r="K139" s="224"/>
      <c r="L139" s="873">
        <f>SUM(F139,J139)</f>
        <v>0</v>
      </c>
      <c r="M139" s="873"/>
      <c r="N139" s="127"/>
      <c r="O139" s="19"/>
    </row>
    <row r="140" spans="1:15" s="12" customFormat="1" ht="15" hidden="1" customHeight="1" x14ac:dyDescent="0.2">
      <c r="A140" s="21"/>
      <c r="B140" s="64" t="s">
        <v>87</v>
      </c>
      <c r="C140" s="151" t="s">
        <v>4</v>
      </c>
      <c r="D140" s="197">
        <v>0.1</v>
      </c>
      <c r="E140" s="25" t="s">
        <v>3</v>
      </c>
      <c r="F140" s="198">
        <v>0</v>
      </c>
      <c r="G140" s="131"/>
      <c r="H140" s="153"/>
      <c r="I140" s="25"/>
      <c r="J140" s="154"/>
      <c r="K140" s="154"/>
      <c r="L140" s="152"/>
      <c r="M140" s="245">
        <f>SUM(F140,J140)</f>
        <v>0</v>
      </c>
      <c r="N140" s="127"/>
      <c r="O140" s="20"/>
    </row>
    <row r="141" spans="1:15" s="12" customFormat="1" ht="15" hidden="1" customHeight="1" x14ac:dyDescent="0.2">
      <c r="A141" s="21"/>
      <c r="B141" s="64" t="s">
        <v>92</v>
      </c>
      <c r="C141" s="151" t="s">
        <v>4</v>
      </c>
      <c r="D141" s="197">
        <v>0.1</v>
      </c>
      <c r="E141" s="25" t="s">
        <v>3</v>
      </c>
      <c r="F141" s="198">
        <v>0</v>
      </c>
      <c r="G141" s="131"/>
      <c r="H141" s="153"/>
      <c r="I141" s="25"/>
      <c r="J141" s="154"/>
      <c r="K141" s="154"/>
      <c r="L141" s="155"/>
      <c r="M141" s="246">
        <f>SUM(F141,J141)</f>
        <v>0</v>
      </c>
      <c r="N141" s="127"/>
      <c r="O141" s="20"/>
    </row>
    <row r="142" spans="1:15" s="12" customFormat="1" ht="15" hidden="1" customHeight="1" x14ac:dyDescent="0.2">
      <c r="A142" s="21"/>
      <c r="B142" s="64" t="s">
        <v>93</v>
      </c>
      <c r="C142" s="151" t="s">
        <v>4</v>
      </c>
      <c r="D142" s="197">
        <v>0.1</v>
      </c>
      <c r="E142" s="25" t="s">
        <v>3</v>
      </c>
      <c r="F142" s="198">
        <v>0</v>
      </c>
      <c r="G142" s="131"/>
      <c r="H142" s="153"/>
      <c r="I142" s="25"/>
      <c r="J142" s="154"/>
      <c r="K142" s="154"/>
      <c r="L142" s="155"/>
      <c r="M142" s="247">
        <f>SUM(F142,J142)</f>
        <v>0</v>
      </c>
      <c r="N142" s="127"/>
      <c r="O142" s="20"/>
    </row>
    <row r="143" spans="1:15" s="12" customFormat="1" ht="25.5" customHeight="1" x14ac:dyDescent="0.2">
      <c r="A143" s="21"/>
      <c r="B143" s="212" t="s">
        <v>143</v>
      </c>
      <c r="C143" s="156" t="s">
        <v>86</v>
      </c>
      <c r="D143" s="196">
        <f ca="1">CostoCost_Sot_ContrBaseMinistAliq</f>
        <v>6</v>
      </c>
      <c r="E143" s="200" t="s">
        <v>3</v>
      </c>
      <c r="F143" s="198">
        <f ca="1">CostoCost_Sott_ContEscMagg</f>
        <v>0</v>
      </c>
      <c r="G143" s="239"/>
      <c r="H143" s="22"/>
      <c r="I143" s="22"/>
      <c r="J143" s="22"/>
      <c r="K143" s="240"/>
      <c r="L143" s="873">
        <f ca="1">F143</f>
        <v>0</v>
      </c>
      <c r="M143" s="873"/>
      <c r="N143" s="127"/>
      <c r="O143" s="18"/>
    </row>
    <row r="144" spans="1:15" s="12" customFormat="1" ht="12.75" customHeight="1" x14ac:dyDescent="0.2">
      <c r="A144" s="21"/>
      <c r="B144" s="64" t="s">
        <v>199</v>
      </c>
      <c r="C144" s="236"/>
      <c r="D144" s="237"/>
      <c r="E144" s="25"/>
      <c r="F144" s="238"/>
      <c r="G144" s="22"/>
      <c r="H144" s="22"/>
      <c r="I144" s="22"/>
      <c r="J144" s="22"/>
      <c r="K144" s="22"/>
      <c r="L144" s="943">
        <f>CostoCostr_NuovaEdif_corrisposto_concessione_cong+CostoCostr_NuovaEdif_corrisposto_varianti+CostoCostr_Ristrutt_corrisposto_concessione_cong+CostoCostr_Ristrutt_corrisposto_varianti</f>
        <v>0</v>
      </c>
      <c r="M144" s="944"/>
      <c r="N144" s="241" t="s">
        <v>159</v>
      </c>
      <c r="O144" s="18"/>
    </row>
    <row r="145" spans="1:16" s="12" customFormat="1" ht="15" customHeight="1" x14ac:dyDescent="0.2">
      <c r="A145" s="21"/>
      <c r="B145" s="234"/>
      <c r="C145" s="235"/>
      <c r="D145" s="235"/>
      <c r="E145" s="235"/>
      <c r="F145" s="235"/>
      <c r="G145" s="235"/>
      <c r="H145" s="235"/>
      <c r="I145" s="235"/>
      <c r="J145" s="341" t="s">
        <v>105</v>
      </c>
      <c r="K145" s="342"/>
      <c r="L145" s="903">
        <f ca="1">IF((CC_Residenziale+CC_CommercioTerziario+cc_CostoCostRecSottProg-CC_Corrisposto)&gt;0,CC_Residenziale+CC_CommercioTerziario+cc_CostoCostRecSottProg-CC_Corrisposto,0)</f>
        <v>0</v>
      </c>
      <c r="M145" s="903"/>
      <c r="N145" s="127"/>
      <c r="O145" s="17"/>
    </row>
    <row r="146" spans="1:16" s="12" customFormat="1" ht="12.75" customHeight="1" x14ac:dyDescent="0.2">
      <c r="A146" s="21"/>
      <c r="B146" s="337"/>
      <c r="C146" s="227"/>
      <c r="D146" s="227"/>
      <c r="E146" s="227"/>
      <c r="F146" s="227"/>
      <c r="G146" s="227"/>
      <c r="H146" s="227"/>
      <c r="I146" s="227"/>
      <c r="J146" s="338"/>
      <c r="K146" s="227"/>
      <c r="L146" s="339"/>
      <c r="M146" s="339"/>
      <c r="N146" s="127"/>
      <c r="O146" s="17"/>
    </row>
    <row r="147" spans="1:16" s="10" customFormat="1" ht="12.75" customHeight="1" x14ac:dyDescent="0.25">
      <c r="A147" s="32"/>
      <c r="B147" s="336" t="s">
        <v>140</v>
      </c>
      <c r="C147" s="131"/>
      <c r="D147" s="22"/>
      <c r="E147" s="22"/>
      <c r="F147" s="22"/>
      <c r="G147" s="22"/>
      <c r="H147" s="22"/>
      <c r="I147" s="22"/>
      <c r="J147" s="22"/>
      <c r="K147" s="22"/>
      <c r="L147" s="22"/>
      <c r="M147" s="125"/>
      <c r="N147" s="136"/>
      <c r="O147" s="15"/>
    </row>
    <row r="148" spans="1:16" ht="12.75" customHeight="1" x14ac:dyDescent="0.2">
      <c r="A148" s="21"/>
      <c r="B148" s="213" t="s">
        <v>125</v>
      </c>
      <c r="C148" s="159"/>
      <c r="D148" s="159"/>
      <c r="E148" s="159"/>
      <c r="F148" s="159"/>
      <c r="G148" s="159"/>
      <c r="H148" s="159"/>
      <c r="I148" s="159"/>
      <c r="J148" s="159"/>
      <c r="K148" s="159"/>
      <c r="L148" s="875">
        <f>CostoCostProg_ContributoDovuto</f>
        <v>0</v>
      </c>
      <c r="M148" s="876"/>
      <c r="N148" s="160"/>
      <c r="P148" s="119"/>
    </row>
    <row r="149" spans="1:16" ht="12.75" customHeight="1" x14ac:dyDescent="0.2">
      <c r="A149" s="21"/>
      <c r="B149" s="214" t="s">
        <v>141</v>
      </c>
      <c r="C149" s="161"/>
      <c r="D149" s="161"/>
      <c r="E149" s="161"/>
      <c r="F149" s="161"/>
      <c r="G149" s="161"/>
      <c r="H149" s="161"/>
      <c r="I149" s="161"/>
      <c r="J149" s="161"/>
      <c r="K149" s="161"/>
      <c r="L149" s="900">
        <f>CostoCostStatoFatto_ContributoDovuto</f>
        <v>0</v>
      </c>
      <c r="M149" s="900"/>
      <c r="N149" s="136"/>
      <c r="P149" s="119"/>
    </row>
    <row r="150" spans="1:16" ht="12.75" customHeight="1" x14ac:dyDescent="0.2">
      <c r="A150" s="21"/>
      <c r="B150" s="214" t="s">
        <v>158</v>
      </c>
      <c r="C150" s="161"/>
      <c r="D150" s="161"/>
      <c r="E150" s="161"/>
      <c r="F150" s="161"/>
      <c r="G150" s="161"/>
      <c r="H150" s="161"/>
      <c r="I150" s="161"/>
      <c r="J150" s="161"/>
      <c r="K150" s="161"/>
      <c r="L150" s="900">
        <f>CostoCostr_NuovaEdif_Prog_corrisposto_concessione_cong+CostoCostr_NuovaEdif_Prog_corrisposto_varianti+CostoCostr_NuovaEdif_StFatto_corrisposto_concessione_cong+CostoCostr_NuovaEdif_StFatto_corrisposto_varianti</f>
        <v>0</v>
      </c>
      <c r="M150" s="900"/>
      <c r="N150" s="136" t="s">
        <v>159</v>
      </c>
      <c r="P150" s="119"/>
    </row>
    <row r="151" spans="1:16" ht="15" customHeight="1" x14ac:dyDescent="0.2">
      <c r="A151" s="21"/>
      <c r="B151" s="234"/>
      <c r="C151" s="235"/>
      <c r="D151" s="235"/>
      <c r="E151" s="235"/>
      <c r="F151" s="235"/>
      <c r="G151" s="235"/>
      <c r="H151" s="235"/>
      <c r="I151" s="235"/>
      <c r="J151" s="341" t="s">
        <v>105</v>
      </c>
      <c r="K151" s="342"/>
      <c r="L151" s="904">
        <f>IF((CostoCostProg_ContributoDovuto+CostoCostStatoFatto_ContributoDovuto-CostoCostr_Prog_StFatto_corrisposto)&gt;0,CostoCostProg_ContributoDovuto+CostoCostStatoFatto_ContributoDovuto-CostoCostr_Prog_StFatto_corrisposto,0)</f>
        <v>0</v>
      </c>
      <c r="M151" s="905"/>
      <c r="N151" s="136"/>
      <c r="P151" s="119"/>
    </row>
    <row r="152" spans="1:16" ht="12.75" customHeight="1" x14ac:dyDescent="0.2">
      <c r="A152" s="21"/>
      <c r="B152" s="201"/>
      <c r="C152" s="191"/>
      <c r="D152" s="191"/>
      <c r="E152" s="191"/>
      <c r="F152" s="191"/>
      <c r="G152" s="191"/>
      <c r="H152" s="191"/>
      <c r="I152" s="191"/>
      <c r="J152" s="191"/>
      <c r="K152" s="191"/>
      <c r="L152" s="191"/>
      <c r="M152" s="204"/>
      <c r="N152" s="136"/>
      <c r="P152" s="119"/>
    </row>
    <row r="153" spans="1:16" ht="15" customHeight="1" x14ac:dyDescent="0.2">
      <c r="A153" s="21"/>
      <c r="B153" s="201"/>
      <c r="C153" s="191"/>
      <c r="D153" s="191"/>
      <c r="E153" s="191"/>
      <c r="F153" s="191"/>
      <c r="G153" s="191"/>
      <c r="H153" s="191"/>
      <c r="I153" s="191"/>
      <c r="J153" s="338" t="s">
        <v>142</v>
      </c>
      <c r="K153" s="191"/>
      <c r="L153" s="945">
        <f ca="1">ImportoCostoCostruzione+ImportoCostoCostruzione_StatoFattoProgetto</f>
        <v>0</v>
      </c>
      <c r="M153" s="945"/>
      <c r="N153" s="136"/>
      <c r="P153" s="119"/>
    </row>
    <row r="154" spans="1:16" ht="12.75" customHeight="1" x14ac:dyDescent="0.2">
      <c r="A154" s="21"/>
      <c r="B154" s="201"/>
      <c r="C154" s="191"/>
      <c r="D154" s="191"/>
      <c r="E154" s="191"/>
      <c r="F154" s="191"/>
      <c r="G154" s="191"/>
      <c r="H154" s="191"/>
      <c r="I154" s="191"/>
      <c r="J154" s="194"/>
      <c r="K154" s="191"/>
      <c r="L154"/>
      <c r="M154"/>
      <c r="N154" s="136"/>
      <c r="P154" s="119"/>
    </row>
    <row r="155" spans="1:16" ht="12.75" customHeight="1" x14ac:dyDescent="0.2">
      <c r="A155" s="21"/>
      <c r="B155" s="256" t="s">
        <v>88</v>
      </c>
      <c r="C155" s="110"/>
      <c r="D155" s="110"/>
      <c r="E155" s="110"/>
      <c r="F155" s="110"/>
      <c r="G155" s="110"/>
      <c r="H155" s="110"/>
      <c r="I155" s="110"/>
      <c r="J155" s="110"/>
      <c r="K155" s="110"/>
      <c r="L155" s="191"/>
      <c r="M155" s="205"/>
      <c r="N155" s="136"/>
      <c r="P155" s="119"/>
    </row>
    <row r="156" spans="1:16" s="12" customFormat="1" ht="12.75" customHeight="1" x14ac:dyDescent="0.2">
      <c r="A156" s="21"/>
      <c r="B156" s="64" t="s">
        <v>198</v>
      </c>
      <c r="C156" s="57"/>
      <c r="D156" s="57"/>
      <c r="E156" s="57"/>
      <c r="F156" s="157"/>
      <c r="G156" s="57"/>
      <c r="H156" s="57"/>
      <c r="I156" s="57"/>
      <c r="J156" s="57"/>
      <c r="K156" s="57"/>
      <c r="L156" s="280" t="str">
        <f>IF(Parametri_MaggiorazioneSottotettiCC&gt;0, TEXT(Parametri_MaggiorazioneSottotettiCC,"0%"),"Nessuna")</f>
        <v>10%</v>
      </c>
      <c r="M156" s="79">
        <f ca="1">CostoCost_Sott_ContEscMagg*Parametri_MaggiorazioneSottotettiCC</f>
        <v>0</v>
      </c>
      <c r="N156" s="202"/>
      <c r="O156" s="17"/>
    </row>
    <row r="157" spans="1:16" s="12" customFormat="1" ht="12.75" customHeight="1" x14ac:dyDescent="0.2">
      <c r="A157" s="21"/>
      <c r="B157" s="64" t="s">
        <v>200</v>
      </c>
      <c r="C157" s="57"/>
      <c r="D157" s="57"/>
      <c r="E157" s="57"/>
      <c r="F157" s="146"/>
      <c r="G157" s="57"/>
      <c r="H157" s="57"/>
      <c r="I157" s="57"/>
      <c r="J157" s="57"/>
      <c r="K157" s="57"/>
      <c r="L157" s="280" t="str">
        <f>IF(Par_PianoCasa_RidCC&gt;0, TEXT(Par_PianoCasa_RidCC,"0%"),"Nessuna")</f>
        <v>Nessuna</v>
      </c>
      <c r="M157" s="79">
        <f>IF(PianoCasa="Sì",((ImportoCostoCostruzione_senzaAltriCosti+CC_AltriCosti_ValoreMaggCCRecSott)*Par_PianoCasa_Rid),0 )</f>
        <v>0</v>
      </c>
      <c r="N157" s="203" t="s">
        <v>159</v>
      </c>
      <c r="O157" s="17"/>
    </row>
    <row r="158" spans="1:16" s="12" customFormat="1" ht="12.75" customHeight="1" x14ac:dyDescent="0.2">
      <c r="A158" s="21"/>
      <c r="B158" s="64" t="s">
        <v>225</v>
      </c>
      <c r="C158" s="57"/>
      <c r="D158" s="57"/>
      <c r="E158" s="57"/>
      <c r="F158" s="146"/>
      <c r="G158" s="57"/>
      <c r="H158" s="57"/>
      <c r="I158" s="57"/>
      <c r="J158" s="57"/>
      <c r="K158" s="57"/>
      <c r="L158" s="222"/>
      <c r="M158" s="79">
        <f>IF(InSanatoria="Si (onerosa)",ImportoCostoCostruzione_senzaAltriCosti+CC_AltriCosti_ValoreMaggCCRecSott,0)</f>
        <v>0</v>
      </c>
      <c r="N158" s="203"/>
      <c r="O158" s="17"/>
    </row>
    <row r="159" spans="1:16" s="12" customFormat="1" ht="12.75" customHeight="1" x14ac:dyDescent="0.2">
      <c r="A159" s="21"/>
      <c r="B159" s="941"/>
      <c r="C159" s="942"/>
      <c r="D159" s="942"/>
      <c r="E159" s="942"/>
      <c r="F159" s="942"/>
      <c r="G159" s="942"/>
      <c r="H159" s="942"/>
      <c r="I159" s="942"/>
      <c r="J159" s="233" t="s">
        <v>105</v>
      </c>
      <c r="K159" s="223"/>
      <c r="L159" s="222"/>
      <c r="M159" s="242">
        <f ca="1">CC_AltriCosti_ValoreMaggCCRecSott+CC_RiduzionePianoCasa+CC_SanzioneCostoCostruzione+CC_Corrisposto</f>
        <v>0</v>
      </c>
      <c r="N159" s="203"/>
      <c r="O159" s="18"/>
    </row>
    <row r="160" spans="1:16" s="12" customFormat="1" ht="12.75" customHeight="1" thickBot="1" x14ac:dyDescent="0.25">
      <c r="A160" s="21"/>
      <c r="B160" s="206"/>
      <c r="C160" s="207"/>
      <c r="D160" s="208"/>
      <c r="E160" s="141"/>
      <c r="F160" s="209"/>
      <c r="G160" s="142"/>
      <c r="H160" s="142"/>
      <c r="I160" s="142"/>
      <c r="J160" s="142"/>
      <c r="K160" s="142"/>
      <c r="L160" s="142"/>
      <c r="M160" s="211"/>
      <c r="N160" s="210"/>
      <c r="O160" s="18"/>
    </row>
    <row r="161" spans="1:16" ht="15" customHeight="1" x14ac:dyDescent="0.2">
      <c r="A161" s="21"/>
      <c r="B161" s="194"/>
      <c r="C161" s="194"/>
      <c r="D161" s="194"/>
      <c r="E161" s="194"/>
      <c r="F161" s="194"/>
      <c r="G161" s="194"/>
      <c r="H161" s="194"/>
      <c r="I161" s="194"/>
      <c r="J161" s="194" t="s">
        <v>226</v>
      </c>
      <c r="K161" s="194"/>
      <c r="L161" s="909">
        <f ca="1">IF((CC_Residenziale+CC_CommercioTerziario+cc_CostoCostRecSottProg+CC_AltriCosti_ValoreMaggCCRecSott-CC_RiduzionePianoCasa+CC_SanzioneCostoCostruzione)-(CC_Corrisposto)&gt;0,CC_Residenziale+CC_CommercioTerziario+cc_CostoCostRecSottProg+CC_AltriCosti_ValoreMaggCCRecSott-CC_RiduzionePianoCasa+CC_SanzioneCostoCostruzione-CC_Corrisposto,0)</f>
        <v>0</v>
      </c>
      <c r="M161" s="910"/>
      <c r="N161" s="108"/>
      <c r="P161" s="119"/>
    </row>
    <row r="162" spans="1:16" ht="16.5" customHeight="1" x14ac:dyDescent="0.2">
      <c r="A162" s="21"/>
      <c r="B162" s="61"/>
      <c r="C162" s="29"/>
      <c r="D162" s="29"/>
      <c r="E162" s="29"/>
      <c r="F162" s="29"/>
      <c r="G162" s="29"/>
      <c r="H162" s="29"/>
      <c r="I162" s="29"/>
      <c r="J162" s="29"/>
      <c r="K162" s="29"/>
      <c r="L162" s="29"/>
      <c r="M162" s="108"/>
      <c r="N162" s="108"/>
    </row>
    <row r="163" spans="1:16" ht="15.75" customHeight="1" thickBot="1" x14ac:dyDescent="0.25">
      <c r="A163" s="21"/>
      <c r="B163" s="22"/>
      <c r="C163" s="23"/>
      <c r="D163" s="24"/>
      <c r="E163" s="25"/>
      <c r="F163" s="24"/>
      <c r="G163" s="22"/>
      <c r="H163" s="22"/>
      <c r="I163" s="22"/>
      <c r="J163" s="22"/>
      <c r="K163" s="22"/>
      <c r="L163" s="22"/>
      <c r="M163" s="22"/>
      <c r="N163" s="21"/>
    </row>
    <row r="164" spans="1:16" s="11" customFormat="1" ht="15" customHeight="1" x14ac:dyDescent="0.25">
      <c r="A164" s="28"/>
      <c r="B164" s="243" t="s">
        <v>88</v>
      </c>
      <c r="C164" s="162"/>
      <c r="D164" s="162"/>
      <c r="E164" s="162"/>
      <c r="F164" s="162"/>
      <c r="G164" s="162"/>
      <c r="H164" s="162"/>
      <c r="I164" s="162"/>
      <c r="J164" s="162"/>
      <c r="K164" s="162"/>
      <c r="L164" s="162"/>
      <c r="M164" s="162"/>
      <c r="N164" s="163"/>
      <c r="O164" s="16"/>
    </row>
    <row r="165" spans="1:16" s="12" customFormat="1" ht="12.75" customHeight="1" x14ac:dyDescent="0.2">
      <c r="A165" s="21"/>
      <c r="B165" s="64" t="s">
        <v>206</v>
      </c>
      <c r="C165" s="57"/>
      <c r="D165" s="57"/>
      <c r="E165" s="57"/>
      <c r="F165" s="146"/>
      <c r="G165" s="57"/>
      <c r="H165" s="57"/>
      <c r="I165" s="57"/>
      <c r="J165" s="135"/>
      <c r="K165" s="164"/>
      <c r="L165" s="900">
        <f>DatiGen_IntervSanOnerosaForfImp</f>
        <v>0</v>
      </c>
      <c r="M165" s="900"/>
      <c r="N165" s="158"/>
      <c r="O165" s="17"/>
    </row>
    <row r="166" spans="1:16" s="12" customFormat="1" ht="12.75" customHeight="1" x14ac:dyDescent="0.2">
      <c r="A166" s="21"/>
      <c r="B166" s="64" t="s">
        <v>227</v>
      </c>
      <c r="C166" s="57"/>
      <c r="D166" s="57"/>
      <c r="E166" s="57"/>
      <c r="F166" s="146"/>
      <c r="G166" s="57"/>
      <c r="H166" s="57"/>
      <c r="I166" s="57"/>
      <c r="J166" s="135"/>
      <c r="K166" s="244"/>
      <c r="L166" s="279" t="str">
        <f>IF(Parametri_MaggiorazioneAreeAgric&gt;0,Parametri_MaggiorazioneAreeAgric&amp;"%","Nessuna")</f>
        <v>5%</v>
      </c>
      <c r="M166" s="79">
        <f>IF(Ou_NuovaEd_AreaAgricola="Sì",IF(Ou_NuovaEd_AreaAgricolaPerc&gt;0,(ImportoOneriUrbanizzazione_Riferimento_hide*Parametri_MaggiorazioneAreeAgric/100)*Ou_NuovaEd_AreaAgricolaPerc,(ImportoOneriUrbanizzazione_Riferimento_hide*Parametri_MaggiorazioneAreeAgric/100)),0)</f>
        <v>0</v>
      </c>
      <c r="N166" s="158"/>
      <c r="O166" s="17"/>
    </row>
    <row r="167" spans="1:16" s="12" customFormat="1" ht="12.75" customHeight="1" x14ac:dyDescent="0.2">
      <c r="A167" s="21"/>
      <c r="B167" s="64" t="s">
        <v>228</v>
      </c>
      <c r="C167" s="57"/>
      <c r="D167" s="57"/>
      <c r="E167" s="57"/>
      <c r="F167" s="146"/>
      <c r="G167" s="57"/>
      <c r="H167" s="57"/>
      <c r="I167" s="57"/>
      <c r="J167" s="135"/>
      <c r="K167" s="244"/>
      <c r="L167" s="279" t="str">
        <f>IF(Parametri_MaggiorazioneAreeAgric&gt;0,Parametri_MaggiorazioneAreeAgric&amp;"%","Nessuna")</f>
        <v>5%</v>
      </c>
      <c r="M167" s="79">
        <f>IF(Ou_NuovaEd_AreaAgricola="Sì",IF(Ou_NuovaEd_AreaAgricolaPerc&gt;0,(ImportoCostoCostruzione_conAltriCosti+ImportoCostoCostruzione*Parametri_MaggiorazioneAreeAgric/100)*Ou_NuovaEd_AreaAgricolaPerc,(ImportoCostoCostruzione_conAltriCosti+ImportoCostoCostruzione*Parametri_MaggiorazioneAreeAgric/100)),0)</f>
        <v>0</v>
      </c>
      <c r="N167" s="158"/>
      <c r="O167" s="17"/>
    </row>
    <row r="168" spans="1:16" s="12" customFormat="1" ht="12.75" customHeight="1" x14ac:dyDescent="0.2">
      <c r="A168" s="21"/>
      <c r="B168" s="64" t="s">
        <v>106</v>
      </c>
      <c r="C168" s="57"/>
      <c r="D168" s="57"/>
      <c r="E168" s="57"/>
      <c r="F168" s="146"/>
      <c r="G168" s="57"/>
      <c r="H168" s="57"/>
      <c r="I168" s="57"/>
      <c r="J168" s="135"/>
      <c r="K168" s="244"/>
      <c r="L168" s="900">
        <f>IF(ISERROR(MATCH(ZonaMonetizzazioneAreeStand,ElencoZoneMonetizzazione))=TRUE,0,ZonaMonetizzazioneAreeStand_Valore*Monetizz_Aree_sup)</f>
        <v>0</v>
      </c>
      <c r="M168" s="900"/>
      <c r="N168" s="158"/>
      <c r="O168" s="121">
        <f>IF(ZonaMonetizzazioneAreeStand&lt;&gt;"",(VLOOKUP(ZonaMonetizzazioneAreeStand,Parametri_ElencoZoneMatrice,4,FALSE)),"")</f>
        <v>0</v>
      </c>
    </row>
    <row r="169" spans="1:16" s="12" customFormat="1" ht="12.75" customHeight="1" thickBot="1" x14ac:dyDescent="0.25">
      <c r="A169" s="21"/>
      <c r="B169" s="215" t="s">
        <v>124</v>
      </c>
      <c r="C169" s="216"/>
      <c r="D169" s="216"/>
      <c r="E169" s="216"/>
      <c r="F169" s="216"/>
      <c r="G169" s="216"/>
      <c r="H169" s="216"/>
      <c r="I169" s="216"/>
      <c r="J169" s="218"/>
      <c r="K169" s="248"/>
      <c r="L169" s="901">
        <f>IF(ISERROR(MATCH(ZonaMonetizzazioneParcheg,ElencoZoneMonetizzazione_Parcheggi))=TRUE,0,ZonaMonetizzazioneParcheggi_Valore*Monetizz_Parcheggi_Sup)</f>
        <v>0</v>
      </c>
      <c r="M169" s="901"/>
      <c r="N169" s="249"/>
      <c r="O169" s="121">
        <f>IF(ZonaMonetizzazioneParcheg&lt;&gt;"",(VLOOKUP(ZonaMonetizzazioneParcheg,Parametri_ElencoZoneParcheggiMatrice,4,FALSE)),"")</f>
        <v>0</v>
      </c>
    </row>
    <row r="170" spans="1:16" s="12" customFormat="1" ht="15" customHeight="1" x14ac:dyDescent="0.2">
      <c r="A170" s="21"/>
      <c r="B170" s="251"/>
      <c r="C170" s="58"/>
      <c r="D170" s="58"/>
      <c r="E170" s="58"/>
      <c r="F170" s="58"/>
      <c r="G170" s="58"/>
      <c r="H170" s="58"/>
      <c r="I170" s="58"/>
      <c r="J170" s="252" t="s">
        <v>105</v>
      </c>
      <c r="K170" s="164"/>
      <c r="L170" s="902">
        <f>CC_AltriCosti_Sanzione+OnUrb_AltriCosti_ValoreMaggCostoCAreeAgr+CC_AltriCosti_ValoreMaggCostoCAreeAgr+Co_MonAreeStand+Co_MonAreeParc</f>
        <v>0</v>
      </c>
      <c r="M170" s="902"/>
      <c r="N170" s="250"/>
      <c r="O170" s="17"/>
    </row>
    <row r="171" spans="1:16" ht="16.5" customHeight="1" x14ac:dyDescent="0.2">
      <c r="A171" s="21"/>
      <c r="B171" s="22"/>
      <c r="C171" s="23"/>
      <c r="D171" s="24"/>
      <c r="E171" s="25"/>
      <c r="F171" s="24"/>
      <c r="G171" s="22"/>
      <c r="H171" s="22"/>
      <c r="I171" s="22"/>
      <c r="J171" s="22"/>
      <c r="K171" s="22"/>
      <c r="L171" s="22"/>
      <c r="M171" s="190"/>
      <c r="N171" s="21"/>
      <c r="P171" s="119"/>
    </row>
    <row r="172" spans="1:16" ht="15" customHeight="1" x14ac:dyDescent="0.2">
      <c r="A172" s="29"/>
      <c r="B172" s="921" t="s">
        <v>202</v>
      </c>
      <c r="C172" s="921"/>
      <c r="D172" s="921"/>
      <c r="E172" s="921"/>
      <c r="F172" s="921"/>
      <c r="G172" s="921"/>
      <c r="H172" s="921"/>
      <c r="I172" s="921"/>
      <c r="J172" s="921"/>
      <c r="K172" s="922"/>
      <c r="L172" s="880">
        <f ca="1">ImportoOneriUrbanizzazione_Riferimento+ImportoCostoCostruzione_conAltriCosti+L170</f>
        <v>0</v>
      </c>
      <c r="M172" s="881"/>
      <c r="N172" s="253"/>
      <c r="P172" s="119"/>
    </row>
    <row r="173" spans="1:16" ht="15" customHeight="1" x14ac:dyDescent="0.2">
      <c r="A173" s="29"/>
      <c r="B173" s="574"/>
      <c r="C173" s="574"/>
      <c r="D173" s="574"/>
      <c r="E173" s="574"/>
      <c r="F173" s="574"/>
      <c r="G173" s="574"/>
      <c r="H173" s="574"/>
      <c r="I173" s="574"/>
      <c r="J173" s="574"/>
      <c r="K173" s="574"/>
      <c r="L173"/>
      <c r="M173"/>
      <c r="N173" s="108"/>
      <c r="P173" s="119"/>
    </row>
    <row r="174" spans="1:16" hidden="1" x14ac:dyDescent="0.2"/>
    <row r="175" spans="1:16" hidden="1" x14ac:dyDescent="0.2"/>
    <row r="176" spans="1:1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sheetData>
  <sheetProtection formatColumns="0" formatRows="0" insertRows="0"/>
  <mergeCells count="131">
    <mergeCell ref="B159:I159"/>
    <mergeCell ref="L161:M161"/>
    <mergeCell ref="L165:M165"/>
    <mergeCell ref="L168:M168"/>
    <mergeCell ref="L169:M169"/>
    <mergeCell ref="L170:M170"/>
    <mergeCell ref="B172:K172"/>
    <mergeCell ref="L172:M172"/>
    <mergeCell ref="L139:M139"/>
    <mergeCell ref="L143:M143"/>
    <mergeCell ref="L144:M144"/>
    <mergeCell ref="L145:M145"/>
    <mergeCell ref="L148:M148"/>
    <mergeCell ref="L149:M149"/>
    <mergeCell ref="L150:M150"/>
    <mergeCell ref="L151:M151"/>
    <mergeCell ref="L153:M153"/>
    <mergeCell ref="L127:M127"/>
    <mergeCell ref="L128:M128"/>
    <mergeCell ref="L129:M129"/>
    <mergeCell ref="L130:M130"/>
    <mergeCell ref="L131:M131"/>
    <mergeCell ref="D136:F136"/>
    <mergeCell ref="H136:J136"/>
    <mergeCell ref="B137:B138"/>
    <mergeCell ref="L137:M138"/>
    <mergeCell ref="D93:F93"/>
    <mergeCell ref="H93:J93"/>
    <mergeCell ref="D97:F97"/>
    <mergeCell ref="H97:J97"/>
    <mergeCell ref="D101:F101"/>
    <mergeCell ref="H101:J101"/>
    <mergeCell ref="B117:N117"/>
    <mergeCell ref="B125:J125"/>
    <mergeCell ref="L125:M125"/>
    <mergeCell ref="C106:F106"/>
    <mergeCell ref="G106:J106"/>
    <mergeCell ref="B112:J112"/>
    <mergeCell ref="B113:J113"/>
    <mergeCell ref="L111:M111"/>
    <mergeCell ref="L112:M112"/>
    <mergeCell ref="L113:M113"/>
    <mergeCell ref="L115:M115"/>
    <mergeCell ref="D73:F73"/>
    <mergeCell ref="H73:J73"/>
    <mergeCell ref="D77:F77"/>
    <mergeCell ref="H77:J77"/>
    <mergeCell ref="D81:F81"/>
    <mergeCell ref="H81:J81"/>
    <mergeCell ref="D85:F85"/>
    <mergeCell ref="H85:J85"/>
    <mergeCell ref="D89:F89"/>
    <mergeCell ref="H89:J89"/>
    <mergeCell ref="D60:F60"/>
    <mergeCell ref="H60:J60"/>
    <mergeCell ref="B55:J55"/>
    <mergeCell ref="D61:F61"/>
    <mergeCell ref="H61:J61"/>
    <mergeCell ref="D65:F65"/>
    <mergeCell ref="H65:J65"/>
    <mergeCell ref="D69:F69"/>
    <mergeCell ref="H69:J69"/>
    <mergeCell ref="L49:M49"/>
    <mergeCell ref="L50:M50"/>
    <mergeCell ref="L51:M51"/>
    <mergeCell ref="L53:M53"/>
    <mergeCell ref="L54:M54"/>
    <mergeCell ref="B54:J54"/>
    <mergeCell ref="L55:M55"/>
    <mergeCell ref="L57:M57"/>
    <mergeCell ref="B59:N59"/>
    <mergeCell ref="L41:M41"/>
    <mergeCell ref="L42:M42"/>
    <mergeCell ref="L43:M43"/>
    <mergeCell ref="D44:F44"/>
    <mergeCell ref="H44:J44"/>
    <mergeCell ref="L45:M45"/>
    <mergeCell ref="L46:M46"/>
    <mergeCell ref="L47:M47"/>
    <mergeCell ref="D48:F48"/>
    <mergeCell ref="H48:J48"/>
    <mergeCell ref="L33:M33"/>
    <mergeCell ref="L34:M34"/>
    <mergeCell ref="L35:M35"/>
    <mergeCell ref="D36:F36"/>
    <mergeCell ref="L37:M37"/>
    <mergeCell ref="L38:M38"/>
    <mergeCell ref="L39:M39"/>
    <mergeCell ref="D40:F40"/>
    <mergeCell ref="H40:J40"/>
    <mergeCell ref="L25:M25"/>
    <mergeCell ref="L26:M26"/>
    <mergeCell ref="L27:M27"/>
    <mergeCell ref="D28:F28"/>
    <mergeCell ref="H28:J28"/>
    <mergeCell ref="L29:M29"/>
    <mergeCell ref="L30:M30"/>
    <mergeCell ref="L31:M31"/>
    <mergeCell ref="D32:F32"/>
    <mergeCell ref="H32:J32"/>
    <mergeCell ref="L17:M17"/>
    <mergeCell ref="L18:M18"/>
    <mergeCell ref="L19:M19"/>
    <mergeCell ref="D20:F20"/>
    <mergeCell ref="H20:J20"/>
    <mergeCell ref="L21:M21"/>
    <mergeCell ref="L22:M22"/>
    <mergeCell ref="L23:M23"/>
    <mergeCell ref="D24:F24"/>
    <mergeCell ref="H24:J24"/>
    <mergeCell ref="B2:N2"/>
    <mergeCell ref="D3:F3"/>
    <mergeCell ref="H3:J3"/>
    <mergeCell ref="L3:M3"/>
    <mergeCell ref="D4:F4"/>
    <mergeCell ref="H4:J4"/>
    <mergeCell ref="L5:M5"/>
    <mergeCell ref="L6:M6"/>
    <mergeCell ref="L7:M7"/>
    <mergeCell ref="L15:M15"/>
    <mergeCell ref="D16:F16"/>
    <mergeCell ref="H16:J16"/>
    <mergeCell ref="D8:F8"/>
    <mergeCell ref="H8:J8"/>
    <mergeCell ref="L9:M9"/>
    <mergeCell ref="L10:M10"/>
    <mergeCell ref="L11:M11"/>
    <mergeCell ref="D12:F12"/>
    <mergeCell ref="H12:J12"/>
    <mergeCell ref="L13:M13"/>
    <mergeCell ref="L14:M14"/>
  </mergeCells>
  <conditionalFormatting sqref="D12:F12 D32:F32 D8:F8 H4:K4 H16:K16 D20:F20 D24:F24 D28:F28 D4:F4 H12:K12 D16:F16 D36:F36 H20:K20 H24:K24 H28:K28 H32:K32">
    <cfRule type="cellIs" dxfId="247" priority="17" stopIfTrue="1" operator="greaterThan">
      <formula>0</formula>
    </cfRule>
  </conditionalFormatting>
  <conditionalFormatting sqref="D40:F40 H40:K40">
    <cfRule type="cellIs" dxfId="246" priority="16" stopIfTrue="1" operator="greaterThan">
      <formula>0</formula>
    </cfRule>
  </conditionalFormatting>
  <conditionalFormatting sqref="D44:F44 H44:K44">
    <cfRule type="cellIs" dxfId="245" priority="15" stopIfTrue="1" operator="greaterThan">
      <formula>0</formula>
    </cfRule>
  </conditionalFormatting>
  <conditionalFormatting sqref="H89:K89">
    <cfRule type="cellIs" dxfId="244" priority="7" stopIfTrue="1" operator="greaterThan">
      <formula>0</formula>
    </cfRule>
  </conditionalFormatting>
  <conditionalFormatting sqref="H81:K81">
    <cfRule type="cellIs" dxfId="243" priority="9" stopIfTrue="1" operator="greaterThan">
      <formula>0</formula>
    </cfRule>
  </conditionalFormatting>
  <conditionalFormatting sqref="H85:K85">
    <cfRule type="cellIs" dxfId="242" priority="8" stopIfTrue="1" operator="greaterThan">
      <formula>0</formula>
    </cfRule>
  </conditionalFormatting>
  <conditionalFormatting sqref="H69:K69">
    <cfRule type="cellIs" dxfId="241" priority="11" stopIfTrue="1" operator="greaterThan">
      <formula>0</formula>
    </cfRule>
  </conditionalFormatting>
  <conditionalFormatting sqref="H77:K77">
    <cfRule type="cellIs" dxfId="240" priority="10" stopIfTrue="1" operator="greaterThan">
      <formula>0</formula>
    </cfRule>
  </conditionalFormatting>
  <conditionalFormatting sqref="D93:F93">
    <cfRule type="cellIs" dxfId="239" priority="6" stopIfTrue="1" operator="greaterThan">
      <formula>0</formula>
    </cfRule>
  </conditionalFormatting>
  <conditionalFormatting sqref="H8:K8">
    <cfRule type="cellIs" dxfId="238" priority="18" stopIfTrue="1" operator="notEqual">
      <formula>0</formula>
    </cfRule>
  </conditionalFormatting>
  <conditionalFormatting sqref="D48:F48 H48:K48">
    <cfRule type="cellIs" dxfId="237" priority="14" stopIfTrue="1" operator="greaterThan">
      <formula>0</formula>
    </cfRule>
  </conditionalFormatting>
  <conditionalFormatting sqref="D69:F69 D89:F89 D65:F65 D73:F73 D77:F77 D81:F81 D85:F85 D61:F61">
    <cfRule type="cellIs" dxfId="236" priority="13" stopIfTrue="1" operator="greaterThan">
      <formula>0</formula>
    </cfRule>
  </conditionalFormatting>
  <conditionalFormatting sqref="H65:K65 H73:K73 H61:K61">
    <cfRule type="cellIs" dxfId="235" priority="12" stopIfTrue="1" operator="greaterThan">
      <formula>0</formula>
    </cfRule>
  </conditionalFormatting>
  <conditionalFormatting sqref="H93:K93">
    <cfRule type="cellIs" dxfId="234" priority="5" stopIfTrue="1" operator="greaterThan">
      <formula>0</formula>
    </cfRule>
  </conditionalFormatting>
  <conditionalFormatting sqref="D97:F97">
    <cfRule type="cellIs" dxfId="233" priority="4" stopIfTrue="1" operator="greaterThan">
      <formula>0</formula>
    </cfRule>
  </conditionalFormatting>
  <conditionalFormatting sqref="H97:K97">
    <cfRule type="cellIs" dxfId="232" priority="3" stopIfTrue="1" operator="greaterThan">
      <formula>0</formula>
    </cfRule>
  </conditionalFormatting>
  <conditionalFormatting sqref="D101:F101">
    <cfRule type="cellIs" dxfId="231" priority="2" stopIfTrue="1" operator="greaterThan">
      <formula>0</formula>
    </cfRule>
  </conditionalFormatting>
  <conditionalFormatting sqref="H101:K101">
    <cfRule type="cellIs" dxfId="230" priority="1" stopIfTrue="1" operator="greaterThan">
      <formula>0</formula>
    </cfRule>
  </conditionalFormatting>
  <pageMargins left="0.19685039370078741" right="0.15748031496062992" top="0.27559055118110237" bottom="0.27559055118110237" header="0.27559055118110237" footer="0.23622047244094491"/>
  <pageSetup paperSize="9" scale="65"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
    <tabColor rgb="FFFFFF66"/>
    <pageSetUpPr fitToPage="1"/>
  </sheetPr>
  <dimension ref="A1:IT89"/>
  <sheetViews>
    <sheetView showGridLines="0" zoomScaleNormal="100" workbookViewId="0"/>
  </sheetViews>
  <sheetFormatPr defaultColWidth="0" defaultRowHeight="12.75" zeroHeight="1" x14ac:dyDescent="0.2"/>
  <cols>
    <col min="1" max="1" width="5.7109375" customWidth="1"/>
    <col min="2" max="2" width="26.85546875" customWidth="1"/>
    <col min="3" max="3" width="14.7109375" customWidth="1"/>
    <col min="4" max="7" width="20.7109375" customWidth="1"/>
    <col min="8" max="8" width="1.85546875" customWidth="1"/>
    <col min="9" max="9" width="18.7109375" customWidth="1"/>
    <col min="10" max="28" width="9.140625" hidden="1" customWidth="1"/>
    <col min="29" max="29" width="9" hidden="1" customWidth="1"/>
    <col min="30" max="251" width="9.140625" hidden="1" customWidth="1"/>
    <col min="252" max="252" width="4.140625" hidden="1" customWidth="1"/>
    <col min="253" max="253" width="3.42578125" hidden="1" customWidth="1"/>
    <col min="254" max="254" width="2.85546875" hidden="1" customWidth="1"/>
    <col min="255" max="16384" width="4.85546875" hidden="1"/>
  </cols>
  <sheetData>
    <row r="1" spans="1:9" s="7" customFormat="1" ht="12.75" customHeight="1" thickBot="1" x14ac:dyDescent="0.25">
      <c r="A1" s="580"/>
      <c r="B1" s="971" t="str">
        <f>"Versione 4 (13/11/2013) CONTRIBUTO DI COSTRUZIONE"</f>
        <v>Versione 4 (13/11/2013) CONTRIBUTO DI COSTRUZIONE</v>
      </c>
      <c r="C1" s="971"/>
      <c r="D1" s="971"/>
      <c r="E1" s="971"/>
      <c r="F1" s="971"/>
      <c r="G1" s="971"/>
      <c r="H1" s="971"/>
      <c r="I1" s="107"/>
    </row>
    <row r="2" spans="1:9" s="9" customFormat="1" ht="12.75" customHeight="1" x14ac:dyDescent="0.2">
      <c r="A2" s="35"/>
      <c r="B2" s="838" t="s">
        <v>188</v>
      </c>
      <c r="C2" s="839"/>
      <c r="D2" s="839"/>
      <c r="E2" s="839"/>
      <c r="F2" s="839"/>
      <c r="G2" s="839"/>
      <c r="H2" s="840"/>
      <c r="I2" s="667"/>
    </row>
    <row r="3" spans="1:9" s="7" customFormat="1" ht="12.75" customHeight="1" x14ac:dyDescent="0.2">
      <c r="A3" s="36"/>
      <c r="B3" s="919" t="s">
        <v>189</v>
      </c>
      <c r="C3" s="956"/>
      <c r="D3" s="956"/>
      <c r="E3" s="956"/>
      <c r="F3" s="957"/>
      <c r="G3" s="958" t="s">
        <v>179</v>
      </c>
      <c r="H3" s="56"/>
      <c r="I3"/>
    </row>
    <row r="4" spans="1:9" s="7" customFormat="1" ht="12.75" customHeight="1" x14ac:dyDescent="0.2">
      <c r="A4" s="36"/>
      <c r="B4" s="962" t="str">
        <f>IF(ZonaTerritoriale&lt;&gt;"",INDEX(Parametri_ElencoZoneTerritorialiDesc,MATCH(ZonaTerritoriale,ElencoZoneTerritoriali,0),1),"")</f>
        <v>Inserire zona urbanistica da PGT</v>
      </c>
      <c r="C4" s="963"/>
      <c r="D4" s="963"/>
      <c r="E4" s="963"/>
      <c r="F4" s="964"/>
      <c r="G4" s="958"/>
      <c r="H4" s="56"/>
      <c r="I4"/>
    </row>
    <row r="5" spans="1:9" s="7" customFormat="1" ht="12.75" customHeight="1" x14ac:dyDescent="0.2">
      <c r="A5" s="36"/>
      <c r="B5" s="834" t="s">
        <v>262</v>
      </c>
      <c r="C5" s="861"/>
      <c r="D5" s="861"/>
      <c r="E5" s="861"/>
      <c r="F5" s="835"/>
      <c r="G5" s="614" t="s">
        <v>96</v>
      </c>
      <c r="H5" s="56"/>
      <c r="I5"/>
    </row>
    <row r="6" spans="1:9" s="7" customFormat="1" ht="12.75" customHeight="1" x14ac:dyDescent="0.2">
      <c r="A6" s="36"/>
      <c r="B6" s="834" t="s">
        <v>278</v>
      </c>
      <c r="C6" s="861"/>
      <c r="D6" s="861"/>
      <c r="E6" s="861"/>
      <c r="F6" s="835"/>
      <c r="G6" s="615">
        <v>0</v>
      </c>
      <c r="H6" s="56"/>
      <c r="I6" s="833" t="s">
        <v>293</v>
      </c>
    </row>
    <row r="7" spans="1:9" s="7" customFormat="1" ht="12.75" customHeight="1" x14ac:dyDescent="0.2">
      <c r="A7" s="33"/>
      <c r="B7" s="834" t="s">
        <v>263</v>
      </c>
      <c r="C7" s="861"/>
      <c r="D7" s="861"/>
      <c r="E7" s="861"/>
      <c r="F7" s="835"/>
      <c r="G7" s="616" t="s">
        <v>96</v>
      </c>
      <c r="H7" s="106"/>
      <c r="I7" s="833"/>
    </row>
    <row r="8" spans="1:9" s="7" customFormat="1" ht="12.75" customHeight="1" x14ac:dyDescent="0.2">
      <c r="A8" s="33"/>
      <c r="B8" s="834" t="s">
        <v>207</v>
      </c>
      <c r="C8" s="861"/>
      <c r="D8" s="861"/>
      <c r="E8" s="861"/>
      <c r="F8" s="835"/>
      <c r="G8" s="614" t="s">
        <v>96</v>
      </c>
      <c r="H8" s="106"/>
      <c r="I8" s="33"/>
    </row>
    <row r="9" spans="1:9" s="7" customFormat="1" ht="12.75" hidden="1" customHeight="1" x14ac:dyDescent="0.2">
      <c r="A9" s="33"/>
      <c r="B9" s="948" t="s">
        <v>264</v>
      </c>
      <c r="C9" s="949"/>
      <c r="D9" s="949"/>
      <c r="E9" s="949"/>
      <c r="F9" s="950"/>
      <c r="G9" s="614" t="s">
        <v>96</v>
      </c>
      <c r="H9" s="106"/>
      <c r="I9" s="33"/>
    </row>
    <row r="10" spans="1:9" s="7" customFormat="1" ht="12.75" customHeight="1" thickBot="1" x14ac:dyDescent="0.25">
      <c r="A10" s="26"/>
      <c r="B10" s="105"/>
      <c r="C10" s="88"/>
      <c r="D10" s="88"/>
      <c r="E10" s="88"/>
      <c r="F10" s="88"/>
      <c r="G10" s="88"/>
      <c r="H10" s="70"/>
      <c r="I10" s="26"/>
    </row>
    <row r="11" spans="1:9" s="7" customFormat="1" ht="12.75" customHeight="1" thickBot="1" x14ac:dyDescent="0.25">
      <c r="A11" s="26"/>
      <c r="B11" s="2"/>
      <c r="C11" s="2"/>
      <c r="D11" s="2"/>
      <c r="E11" s="2"/>
      <c r="F11" s="2"/>
      <c r="G11" s="2"/>
      <c r="H11" s="2"/>
      <c r="I11" s="2"/>
    </row>
    <row r="12" spans="1:9" s="7" customFormat="1" ht="12.75" customHeight="1" x14ac:dyDescent="0.2">
      <c r="A12" s="26"/>
      <c r="B12" s="838" t="s">
        <v>78</v>
      </c>
      <c r="C12" s="839"/>
      <c r="D12" s="839"/>
      <c r="E12" s="839"/>
      <c r="F12" s="839"/>
      <c r="G12" s="839"/>
      <c r="H12" s="840"/>
      <c r="I12" s="26"/>
    </row>
    <row r="13" spans="1:9" s="7" customFormat="1" ht="12.75" customHeight="1" x14ac:dyDescent="0.2">
      <c r="A13" s="26"/>
      <c r="B13" s="836" t="s">
        <v>185</v>
      </c>
      <c r="C13" s="860"/>
      <c r="D13" s="860"/>
      <c r="E13" s="860"/>
      <c r="F13" s="837"/>
      <c r="G13" s="616" t="s">
        <v>121</v>
      </c>
      <c r="H13" s="56"/>
      <c r="I13" s="26"/>
    </row>
    <row r="14" spans="1:9" s="7" customFormat="1" ht="12.75" customHeight="1" x14ac:dyDescent="0.2">
      <c r="A14" s="26"/>
      <c r="B14" s="834" t="s">
        <v>186</v>
      </c>
      <c r="C14" s="861"/>
      <c r="D14" s="861"/>
      <c r="E14" s="861"/>
      <c r="F14" s="835"/>
      <c r="G14" s="616" t="s">
        <v>121</v>
      </c>
      <c r="H14" s="56"/>
      <c r="I14" s="26"/>
    </row>
    <row r="15" spans="1:9" s="7" customFormat="1" ht="12.75" customHeight="1" x14ac:dyDescent="0.2">
      <c r="A15" s="26"/>
      <c r="B15" s="834" t="s">
        <v>187</v>
      </c>
      <c r="C15" s="861"/>
      <c r="D15" s="861"/>
      <c r="E15" s="861"/>
      <c r="F15" s="835"/>
      <c r="G15" s="615">
        <v>0</v>
      </c>
      <c r="H15" s="56"/>
      <c r="I15" s="26"/>
    </row>
    <row r="16" spans="1:9" s="7" customFormat="1" ht="12.75" customHeight="1" x14ac:dyDescent="0.2">
      <c r="A16" s="26"/>
      <c r="B16" s="834" t="s">
        <v>208</v>
      </c>
      <c r="C16" s="861"/>
      <c r="D16" s="861"/>
      <c r="E16" s="861"/>
      <c r="F16" s="835"/>
      <c r="G16" s="615">
        <v>0</v>
      </c>
      <c r="H16" s="56"/>
      <c r="I16" s="26"/>
    </row>
    <row r="17" spans="1:9" s="119" customFormat="1" ht="12.75" customHeight="1" x14ac:dyDescent="0.2">
      <c r="A17" s="26"/>
      <c r="B17" s="67"/>
      <c r="C17" s="61"/>
      <c r="D17" s="61"/>
      <c r="E17" s="61"/>
      <c r="F17" s="61"/>
      <c r="G17" s="284"/>
      <c r="H17" s="56"/>
      <c r="I17" s="26"/>
    </row>
    <row r="18" spans="1:9" s="9" customFormat="1" ht="12.75" customHeight="1" x14ac:dyDescent="0.25">
      <c r="A18" s="35"/>
      <c r="B18" s="959" t="s">
        <v>205</v>
      </c>
      <c r="C18" s="960"/>
      <c r="D18" s="960"/>
      <c r="E18" s="960"/>
      <c r="F18" s="960"/>
      <c r="G18" s="960"/>
      <c r="H18" s="961"/>
      <c r="I18" s="120"/>
    </row>
    <row r="19" spans="1:9" s="7" customFormat="1" ht="12.75" customHeight="1" x14ac:dyDescent="0.2">
      <c r="A19" s="26"/>
      <c r="B19" s="951" t="s">
        <v>122</v>
      </c>
      <c r="C19" s="952"/>
      <c r="D19" s="952"/>
      <c r="E19" s="952"/>
      <c r="F19" s="952"/>
      <c r="G19" s="116" t="s">
        <v>180</v>
      </c>
      <c r="H19" s="56"/>
      <c r="I19" s="26"/>
    </row>
    <row r="20" spans="1:9" s="7" customFormat="1" ht="12.75" customHeight="1" x14ac:dyDescent="0.2">
      <c r="A20" s="26"/>
      <c r="B20" s="836" t="str">
        <f>Parametri_DestUsoPersonalizzazione1</f>
        <v>Residenziale</v>
      </c>
      <c r="C20" s="860"/>
      <c r="D20" s="860"/>
      <c r="E20" s="860"/>
      <c r="F20" s="837"/>
      <c r="G20" s="617">
        <v>0</v>
      </c>
      <c r="H20" s="56"/>
      <c r="I20" s="26"/>
    </row>
    <row r="21" spans="1:9" s="7" customFormat="1" ht="12.75" customHeight="1" x14ac:dyDescent="0.2">
      <c r="A21" s="26"/>
      <c r="B21" s="834" t="str">
        <f>Parametri_DestUsoPersonalizzazione2</f>
        <v>Artigianato e piccola industria</v>
      </c>
      <c r="C21" s="861"/>
      <c r="D21" s="861"/>
      <c r="E21" s="861"/>
      <c r="F21" s="835"/>
      <c r="G21" s="613">
        <v>0</v>
      </c>
      <c r="H21" s="56"/>
      <c r="I21" s="26"/>
    </row>
    <row r="22" spans="1:9" s="7" customFormat="1" ht="12.75" customHeight="1" x14ac:dyDescent="0.2">
      <c r="A22" s="26"/>
      <c r="B22" s="834" t="str">
        <f>Parametri_DestUsoPersonalizzazione3</f>
        <v>Industria</v>
      </c>
      <c r="C22" s="861"/>
      <c r="D22" s="861"/>
      <c r="E22" s="861"/>
      <c r="F22" s="835"/>
      <c r="G22" s="617">
        <v>0</v>
      </c>
      <c r="H22" s="56"/>
      <c r="I22" s="26"/>
    </row>
    <row r="23" spans="1:9" s="7" customFormat="1" ht="12.75" customHeight="1" x14ac:dyDescent="0.2">
      <c r="A23" s="26"/>
      <c r="B23" s="834" t="str">
        <f>Parametri_DestUsoPersonalizzazione4</f>
        <v>Industriale alberghiera (alberghi)</v>
      </c>
      <c r="C23" s="861"/>
      <c r="D23" s="861"/>
      <c r="E23" s="861"/>
      <c r="F23" s="835"/>
      <c r="G23" s="613">
        <v>0</v>
      </c>
      <c r="H23" s="56"/>
      <c r="I23" s="26"/>
    </row>
    <row r="24" spans="1:9" s="7" customFormat="1" ht="12.75" customHeight="1" x14ac:dyDescent="0.2">
      <c r="A24" s="26"/>
      <c r="B24" s="834" t="str">
        <f>Parametri_DestUsoPersonalizzazione5</f>
        <v>Industriale alberghiera (altre tipologie)</v>
      </c>
      <c r="C24" s="861"/>
      <c r="D24" s="861"/>
      <c r="E24" s="861"/>
      <c r="F24" s="835"/>
      <c r="G24" s="617">
        <v>0</v>
      </c>
      <c r="H24" s="56"/>
      <c r="I24" s="26"/>
    </row>
    <row r="25" spans="1:9" s="7" customFormat="1" ht="12.75" customHeight="1" x14ac:dyDescent="0.2">
      <c r="A25" s="26"/>
      <c r="B25" s="834" t="str">
        <f>Parametri_DestUsoPersonalizzazione6</f>
        <v>Attività direzionali e commerciali</v>
      </c>
      <c r="C25" s="861"/>
      <c r="D25" s="861"/>
      <c r="E25" s="861"/>
      <c r="F25" s="835"/>
      <c r="G25" s="613">
        <v>0</v>
      </c>
      <c r="H25" s="56"/>
      <c r="I25" s="26"/>
    </row>
    <row r="26" spans="1:9" s="7" customFormat="1" ht="12.75" customHeight="1" x14ac:dyDescent="0.2">
      <c r="A26" s="26"/>
      <c r="B26" s="834" t="str">
        <f>Parametri_DestUsoPersonalizzazione7</f>
        <v>Parcheggi coperti e solos autoveicoli (per posto macchina)</v>
      </c>
      <c r="C26" s="861"/>
      <c r="D26" s="861"/>
      <c r="E26" s="861"/>
      <c r="F26" s="835"/>
      <c r="G26" s="617">
        <v>0</v>
      </c>
      <c r="H26" s="56"/>
      <c r="I26" s="26"/>
    </row>
    <row r="27" spans="1:9" s="7" customFormat="1" ht="12.75" customHeight="1" x14ac:dyDescent="0.2">
      <c r="A27" s="26"/>
      <c r="B27" s="834" t="str">
        <f>Parametri_DestUsoPersonalizzazione8</f>
        <v>Attrezzature culturali sanitarie e assistenziali</v>
      </c>
      <c r="C27" s="861"/>
      <c r="D27" s="861"/>
      <c r="E27" s="861"/>
      <c r="F27" s="835"/>
      <c r="G27" s="613">
        <v>0</v>
      </c>
      <c r="H27" s="56"/>
      <c r="I27" s="26"/>
    </row>
    <row r="28" spans="1:9" s="7" customFormat="1" ht="12.75" customHeight="1" x14ac:dyDescent="0.2">
      <c r="A28" s="26"/>
      <c r="B28" s="834" t="str">
        <f>Parametri_DestUsoPersonalizzazione9</f>
        <v>Attrezzature sportive</v>
      </c>
      <c r="C28" s="861"/>
      <c r="D28" s="861"/>
      <c r="E28" s="861"/>
      <c r="F28" s="835"/>
      <c r="G28" s="613">
        <v>0</v>
      </c>
      <c r="H28" s="56"/>
      <c r="I28" s="26"/>
    </row>
    <row r="29" spans="1:9" s="7" customFormat="1" ht="12.75" customHeight="1" x14ac:dyDescent="0.2">
      <c r="A29" s="26"/>
      <c r="B29" s="834" t="str">
        <f>Parametri_DestUsoPersonalizzazione10</f>
        <v>Attrezzature spettacolo</v>
      </c>
      <c r="C29" s="861"/>
      <c r="D29" s="861"/>
      <c r="E29" s="861"/>
      <c r="F29" s="835"/>
      <c r="G29" s="613">
        <v>0</v>
      </c>
      <c r="H29" s="56"/>
      <c r="I29" s="26"/>
    </row>
    <row r="30" spans="1:9" s="119" customFormat="1" ht="12.75" customHeight="1" x14ac:dyDescent="0.2">
      <c r="A30" s="26"/>
      <c r="B30" s="834" t="str">
        <f>Parametri_DestUsoPersonalizzazione11</f>
        <v>Campeggi (per utente)</v>
      </c>
      <c r="C30" s="861"/>
      <c r="D30" s="861"/>
      <c r="E30" s="861"/>
      <c r="F30" s="835"/>
      <c r="G30" s="613">
        <v>0</v>
      </c>
      <c r="H30" s="56"/>
      <c r="I30" s="26"/>
    </row>
    <row r="31" spans="1:9" s="119" customFormat="1" ht="12.75" hidden="1" customHeight="1" x14ac:dyDescent="0.2">
      <c r="A31" s="26"/>
      <c r="B31" s="834" t="str">
        <f>Parametri_DestUsoPersonalizzazione12</f>
        <v>Destinazione personalizzata 4</v>
      </c>
      <c r="C31" s="861"/>
      <c r="D31" s="861"/>
      <c r="E31" s="861"/>
      <c r="F31" s="835"/>
      <c r="G31" s="613">
        <v>0</v>
      </c>
      <c r="H31" s="56"/>
      <c r="I31" s="26"/>
    </row>
    <row r="32" spans="1:9" s="7" customFormat="1" ht="12.75" hidden="1" customHeight="1" x14ac:dyDescent="0.2">
      <c r="A32" s="26"/>
      <c r="B32" s="834" t="str">
        <f>Parametri_DestUsoPersonalizzazione13</f>
        <v>Destinazione personalizzata 5</v>
      </c>
      <c r="C32" s="861"/>
      <c r="D32" s="861"/>
      <c r="E32" s="861"/>
      <c r="F32" s="835"/>
      <c r="G32" s="613">
        <v>0</v>
      </c>
      <c r="H32" s="56"/>
      <c r="I32" s="26"/>
    </row>
    <row r="33" spans="1:9" s="119" customFormat="1" ht="12.75" customHeight="1" x14ac:dyDescent="0.2">
      <c r="A33" s="26"/>
      <c r="B33" s="67"/>
      <c r="C33" s="115"/>
      <c r="D33" s="115"/>
      <c r="E33" s="115"/>
      <c r="F33" s="115"/>
      <c r="G33" s="176"/>
      <c r="H33" s="56"/>
      <c r="I33" s="26"/>
    </row>
    <row r="34" spans="1:9" s="7" customFormat="1" ht="12.75" customHeight="1" x14ac:dyDescent="0.2">
      <c r="A34" s="26"/>
      <c r="B34" s="965" t="s">
        <v>215</v>
      </c>
      <c r="C34" s="966"/>
      <c r="D34" s="966"/>
      <c r="E34" s="966"/>
      <c r="F34" s="966"/>
      <c r="G34" s="966"/>
      <c r="H34" s="967"/>
      <c r="I34" s="26"/>
    </row>
    <row r="35" spans="1:9" s="7" customFormat="1" ht="12.75" customHeight="1" x14ac:dyDescent="0.2">
      <c r="A35" s="26"/>
      <c r="B35" s="968" t="s">
        <v>122</v>
      </c>
      <c r="C35" s="969"/>
      <c r="D35" s="969"/>
      <c r="E35" s="969"/>
      <c r="F35" s="969"/>
      <c r="G35" s="969"/>
      <c r="H35" s="970"/>
      <c r="I35" s="26"/>
    </row>
    <row r="36" spans="1:9" s="7" customFormat="1" ht="12.75" customHeight="1" x14ac:dyDescent="0.2">
      <c r="A36" s="26"/>
      <c r="B36" s="836" t="s">
        <v>1</v>
      </c>
      <c r="C36" s="860"/>
      <c r="D36" s="860"/>
      <c r="E36" s="860"/>
      <c r="F36" s="837"/>
      <c r="G36" s="618">
        <v>0</v>
      </c>
      <c r="H36" s="56"/>
      <c r="I36" s="26"/>
    </row>
    <row r="37" spans="1:9" s="119" customFormat="1" ht="12.75" customHeight="1" x14ac:dyDescent="0.2">
      <c r="A37" s="26"/>
      <c r="B37" s="67"/>
      <c r="C37" s="169"/>
      <c r="D37" s="169"/>
      <c r="E37" s="116"/>
      <c r="F37" s="116"/>
      <c r="G37" s="285"/>
      <c r="H37" s="56"/>
      <c r="I37" s="26"/>
    </row>
    <row r="38" spans="1:9" s="119" customFormat="1" ht="12.75" customHeight="1" x14ac:dyDescent="0.2">
      <c r="A38" s="26"/>
      <c r="B38" s="965" t="s">
        <v>279</v>
      </c>
      <c r="C38" s="966"/>
      <c r="D38" s="966"/>
      <c r="E38" s="966"/>
      <c r="F38" s="966"/>
      <c r="G38" s="966"/>
      <c r="H38" s="967"/>
      <c r="I38" s="26"/>
    </row>
    <row r="39" spans="1:9" s="7" customFormat="1" ht="12.75" customHeight="1" x14ac:dyDescent="0.2">
      <c r="A39" s="26"/>
      <c r="B39" s="311"/>
      <c r="C39" s="2"/>
      <c r="D39" s="2"/>
      <c r="E39" s="114" t="s">
        <v>212</v>
      </c>
      <c r="F39" s="953" t="s">
        <v>280</v>
      </c>
      <c r="G39" s="953"/>
      <c r="H39" s="56"/>
      <c r="I39" s="26"/>
    </row>
    <row r="40" spans="1:9" s="7" customFormat="1" ht="12.75" customHeight="1" x14ac:dyDescent="0.2">
      <c r="A40" s="33"/>
      <c r="B40" s="836" t="str">
        <f>"L'intervento implica una maggiorazione pari a "&amp; Parametri_MaggiorazioneAreeAgric &amp;"%"</f>
        <v>L'intervento implica una maggiorazione pari a 5%</v>
      </c>
      <c r="C40" s="837"/>
      <c r="D40" s="619" t="s">
        <v>96</v>
      </c>
      <c r="E40" s="620">
        <v>0</v>
      </c>
      <c r="F40" s="620">
        <v>0</v>
      </c>
      <c r="G40" s="170">
        <f>IF(ISERROR(Ou_NuovaEd_AreaAgricolaSupAreaAg/Ou_NuovaEd_AreaAgricolaSupLotto),0,(Ou_NuovaEd_AreaAgricolaSupAreaAg/Ou_NuovaEd_AreaAgricolaSupLotto))</f>
        <v>0</v>
      </c>
      <c r="H40" s="106"/>
      <c r="I40" s="33"/>
    </row>
    <row r="41" spans="1:9" s="119" customFormat="1" ht="12.75" customHeight="1" x14ac:dyDescent="0.2">
      <c r="A41" s="33"/>
      <c r="B41" s="281"/>
      <c r="C41"/>
      <c r="D41"/>
      <c r="E41"/>
      <c r="F41"/>
      <c r="G41"/>
      <c r="H41" s="106"/>
      <c r="I41" s="33"/>
    </row>
    <row r="42" spans="1:9" s="9" customFormat="1" ht="12.75" customHeight="1" x14ac:dyDescent="0.25">
      <c r="A42" s="35"/>
      <c r="B42" s="959" t="s">
        <v>209</v>
      </c>
      <c r="C42" s="960"/>
      <c r="D42" s="960"/>
      <c r="E42" s="960"/>
      <c r="F42" s="960"/>
      <c r="G42" s="960"/>
      <c r="H42" s="961"/>
      <c r="I42" s="120"/>
    </row>
    <row r="43" spans="1:9" s="7" customFormat="1" ht="12.75" customHeight="1" x14ac:dyDescent="0.2">
      <c r="A43" s="26"/>
      <c r="B43" s="951" t="s">
        <v>122</v>
      </c>
      <c r="C43" s="952"/>
      <c r="D43" s="117" t="s">
        <v>181</v>
      </c>
      <c r="E43" s="117" t="s">
        <v>182</v>
      </c>
      <c r="F43" s="117" t="s">
        <v>100</v>
      </c>
      <c r="G43" s="117" t="s">
        <v>211</v>
      </c>
      <c r="H43" s="56"/>
      <c r="I43" s="26"/>
    </row>
    <row r="44" spans="1:9" s="7" customFormat="1" ht="12.75" customHeight="1" x14ac:dyDescent="0.2">
      <c r="A44" s="26"/>
      <c r="B44" s="836" t="str">
        <f>Parametri_DestUsoPersonalizzazione1</f>
        <v>Residenziale</v>
      </c>
      <c r="C44" s="837"/>
      <c r="D44" s="621">
        <v>0</v>
      </c>
      <c r="E44" s="171">
        <f>IF(Ou_Rist_Res_CompMet&gt;0,Ou_Rist_Res_CompMet/CostoBase*4,Ou_Rist_Res_ParReale)</f>
        <v>0</v>
      </c>
      <c r="F44" s="623">
        <v>0</v>
      </c>
      <c r="G44" s="173">
        <f>IF(Ou_Rist_Res_ParReale&gt;0,MIN(Ou_Rist_Res_ParReale,Ou_Rist_Res_ParVirt),Ou_Rist_Res_ParVirt)</f>
        <v>0</v>
      </c>
      <c r="H44" s="56"/>
      <c r="I44" s="26"/>
    </row>
    <row r="45" spans="1:9" s="7" customFormat="1" ht="12.75" customHeight="1" x14ac:dyDescent="0.2">
      <c r="A45" s="26"/>
      <c r="B45" s="834" t="str">
        <f>Parametri_DestUsoPersonalizzazione2</f>
        <v>Artigianato e piccola industria</v>
      </c>
      <c r="C45" s="835"/>
      <c r="D45" s="622">
        <v>0</v>
      </c>
      <c r="E45" s="172">
        <f>IF(Ou_Rist_Com_CompMet&gt;0,Ou_Rist_Com_CompMet/CostoBase,Ou_Rist_Com_ParReale)</f>
        <v>0</v>
      </c>
      <c r="F45" s="623">
        <v>0</v>
      </c>
      <c r="G45" s="174">
        <f>IF(Ou_Rist_Com_ParReale&gt;0,MIN(Ou_Rist_Com_ParReale,Ou_Rist_Com_ParVirt),Ou_Rist_Com_ParVirt)</f>
        <v>0</v>
      </c>
      <c r="H45" s="56"/>
      <c r="I45" s="26"/>
    </row>
    <row r="46" spans="1:9" s="7" customFormat="1" ht="12.75" customHeight="1" x14ac:dyDescent="0.2">
      <c r="A46" s="26"/>
      <c r="B46" s="834" t="str">
        <f>Parametri_DestUsoPersonalizzazione3</f>
        <v>Industria</v>
      </c>
      <c r="C46" s="835"/>
      <c r="D46" s="621">
        <v>0</v>
      </c>
      <c r="E46" s="172">
        <f>IF(Ou_Rist_IndArt_CompMet&gt;0,Ou_Rist_IndArt_CompMet/CostoBase,Ou_Rist_IndArt_ParReale)</f>
        <v>0</v>
      </c>
      <c r="F46" s="623">
        <v>0</v>
      </c>
      <c r="G46" s="174">
        <f>IF(Ou_Rist_IndArt_ParReale&gt;0,MIN(Ou_Rist_IndArt_ParReale,Ou_Rist_IndArt_ParVirt),Ou_Rist_IndArt_ParVirt)</f>
        <v>0</v>
      </c>
      <c r="H46" s="56"/>
      <c r="I46" s="26"/>
    </row>
    <row r="47" spans="1:9" s="7" customFormat="1" ht="12.75" customHeight="1" x14ac:dyDescent="0.2">
      <c r="A47" s="26"/>
      <c r="B47" s="834" t="str">
        <f>Parametri_DestUsoPersonalizzazione4</f>
        <v>Industriale alberghiera (alberghi)</v>
      </c>
      <c r="C47" s="835"/>
      <c r="D47" s="622">
        <v>0</v>
      </c>
      <c r="E47" s="172">
        <f>IF(Ou_Rist_IndAlb_CompMet&gt;0,Ou_Rist_IndAlb_CompMet/CostoBase,Ou_Rist_IndAlb_ParReale)</f>
        <v>0</v>
      </c>
      <c r="F47" s="624">
        <v>0</v>
      </c>
      <c r="G47" s="174">
        <f>IF(Ou_Rist_IndAlb_ParReale&gt;0,MIN(Ou_Rist_IndAlb_ParReale,Ou_Rist_IndAlb_ParVirt),Ou_Rist_IndAlb_ParVirt)</f>
        <v>0</v>
      </c>
      <c r="H47" s="56"/>
      <c r="I47" s="26"/>
    </row>
    <row r="48" spans="1:9" s="7" customFormat="1" ht="12.75" customHeight="1" x14ac:dyDescent="0.2">
      <c r="A48" s="26"/>
      <c r="B48" s="834" t="str">
        <f>Parametri_DestUsoPersonalizzazione5</f>
        <v>Industriale alberghiera (altre tipologie)</v>
      </c>
      <c r="C48" s="835"/>
      <c r="D48" s="621">
        <v>0</v>
      </c>
      <c r="E48" s="172">
        <f>IF(Ou_Rist_ParSil_CompMet&gt;0,Ou_Rist_ParSil_CompMet/CostoBase,Ou_Rist_ParSil_ParReale)</f>
        <v>0</v>
      </c>
      <c r="F48" s="624">
        <v>0</v>
      </c>
      <c r="G48" s="174">
        <f>IF(Ou_Rist_ParSil_ParReale&gt;0,MIN(Ou_Rist_ParSil_ParReale,Ou_Rist_ParSil_ParVirt),Ou_Rist_ParSil_ParVirt)</f>
        <v>0</v>
      </c>
      <c r="H48" s="56"/>
      <c r="I48" s="26"/>
    </row>
    <row r="49" spans="1:9" s="7" customFormat="1" ht="12.75" customHeight="1" x14ac:dyDescent="0.2">
      <c r="A49" s="26"/>
      <c r="B49" s="834" t="str">
        <f>Parametri_DestUsoPersonalizzazione6</f>
        <v>Attività direzionali e commerciali</v>
      </c>
      <c r="C49" s="835"/>
      <c r="D49" s="622">
        <v>0</v>
      </c>
      <c r="E49" s="172">
        <f>IF(Ou_Rist_CultSan_CompMet&gt;0,Ou_Rist_CultSan_CompMet/CostoBase,Ou_Rist_CultSan_ParReale)</f>
        <v>0</v>
      </c>
      <c r="F49" s="624">
        <v>0</v>
      </c>
      <c r="G49" s="174">
        <f>IF(Ou_Rist_CultSan_ParReale&gt;0,MIN(Ou_Rist_CultSan_ParReale,Ou_Rist_CultSan_ParVirt),Ou_Rist_CultSan_ParVirt)</f>
        <v>0</v>
      </c>
      <c r="H49" s="56"/>
      <c r="I49" s="26"/>
    </row>
    <row r="50" spans="1:9" s="7" customFormat="1" ht="12.75" customHeight="1" x14ac:dyDescent="0.2">
      <c r="A50" s="26"/>
      <c r="B50" s="834" t="str">
        <f>Parametri_DestUsoPersonalizzazione7</f>
        <v>Parcheggi coperti e solos autoveicoli (per posto macchina)</v>
      </c>
      <c r="C50" s="835"/>
      <c r="D50" s="621">
        <v>0</v>
      </c>
      <c r="E50" s="172">
        <f>IF(Ou_Rist_AttSpor_CompMet&gt;0,Ou_Rist_AttSpor_CompMet/CostoBase,Ou_Rist_AttSpor_ParReale)</f>
        <v>0</v>
      </c>
      <c r="F50" s="624">
        <v>0</v>
      </c>
      <c r="G50" s="174">
        <f>IF(Ou_Rist_AttSpor_ParReale&gt;0,MIN(Ou_Rist_AttSpor_ParReale,Ou_Rist_AttSpor_ParVirt),Ou_Rist_AttSpor_ParVirt)</f>
        <v>0</v>
      </c>
      <c r="H50" s="56"/>
      <c r="I50" s="26"/>
    </row>
    <row r="51" spans="1:9" s="7" customFormat="1" ht="12.75" customHeight="1" x14ac:dyDescent="0.2">
      <c r="A51" s="26"/>
      <c r="B51" s="834" t="str">
        <f>Parametri_DestUsoPersonalizzazione8</f>
        <v>Attrezzature culturali sanitarie e assistenziali</v>
      </c>
      <c r="C51" s="835"/>
      <c r="D51" s="622">
        <v>0</v>
      </c>
      <c r="E51" s="172">
        <f>IF(Ou_Rist_AttSpet_CompMet&gt;0,Ou_Rist_AttSpet_CompMet/CostoBase,Ou_Rist_AttSpet_ParReale)</f>
        <v>0</v>
      </c>
      <c r="F51" s="624">
        <v>0</v>
      </c>
      <c r="G51" s="174">
        <f>IF(Ou_Rist_AttSpet_ParReale&gt;0,MIN(Ou_Rist_AttSpet_ParReale,Ou_Rist_AttSpet_ParVirt),Ou_Rist_AttSpet_ParVirt)</f>
        <v>0</v>
      </c>
      <c r="H51" s="56"/>
      <c r="I51" s="26"/>
    </row>
    <row r="52" spans="1:9" s="7" customFormat="1" ht="12.75" customHeight="1" x14ac:dyDescent="0.2">
      <c r="A52" s="26"/>
      <c r="B52" s="834" t="str">
        <f>Parametri_DestUsoPersonalizzazione9</f>
        <v>Attrezzature sportive</v>
      </c>
      <c r="C52" s="835"/>
      <c r="D52" s="621">
        <v>0</v>
      </c>
      <c r="E52" s="172">
        <f>IF(Ou_Rist_Personalizzazione1_CompMet&gt;0,Ou_Rist_Personalizzazione1_CompMet/CostoBase,Ou_Rist_Personalizzazione1_ParReale)</f>
        <v>0</v>
      </c>
      <c r="F52" s="624">
        <v>0</v>
      </c>
      <c r="G52" s="174">
        <f>IF(Ou_Rist_Personalizzazione1_ParReale&gt;0,MIN(Ou_Rist_Personalizzazione1_ParReale,Ou_Rist_Personalizzazione1_ParVirt),Ou_Rist_Personalizzazione1_ParVirt)</f>
        <v>0</v>
      </c>
      <c r="H52" s="56"/>
      <c r="I52" s="26"/>
    </row>
    <row r="53" spans="1:9" s="7" customFormat="1" ht="12.75" customHeight="1" x14ac:dyDescent="0.2">
      <c r="A53" s="26"/>
      <c r="B53" s="834" t="str">
        <f>Parametri_DestUsoPersonalizzazione10</f>
        <v>Attrezzature spettacolo</v>
      </c>
      <c r="C53" s="835"/>
      <c r="D53" s="622">
        <v>0</v>
      </c>
      <c r="E53" s="172">
        <f>IF(Ou_Rist_Personalizzazione2_CompMet&gt;0,Ou_Rist_Personalizzazione2_CompMet/CostoBase,Ou_Rist_Personalizzazione2_ParReale)</f>
        <v>0</v>
      </c>
      <c r="F53" s="624">
        <v>0</v>
      </c>
      <c r="G53" s="174">
        <f>IF(Ou_Rist_Personalizzazione2_ParReale&gt;0,MIN(Ou_Rist_Personalizzazione2_ParReale,Ou_Rist_Personalizzazione2_ParVirt),Ou_Rist_Personalizzazione2_ParVirt)</f>
        <v>0</v>
      </c>
      <c r="H53" s="56"/>
      <c r="I53" s="26"/>
    </row>
    <row r="54" spans="1:9" s="119" customFormat="1" ht="12.75" customHeight="1" x14ac:dyDescent="0.2">
      <c r="A54" s="26"/>
      <c r="B54" s="834" t="str">
        <f>Parametri_DestUsoPersonalizzazione11</f>
        <v>Campeggi (per utente)</v>
      </c>
      <c r="C54" s="835"/>
      <c r="D54" s="621">
        <v>0</v>
      </c>
      <c r="E54" s="172">
        <f>IF(Ou_Rist_Personalizzazione3_CompMet&gt;0,Ou_Rist_Personalizzazione3_CompMet/CostoBase,Ou_Rist_Personalizzazione3_ParReale)</f>
        <v>0</v>
      </c>
      <c r="F54" s="624">
        <v>0</v>
      </c>
      <c r="G54" s="174">
        <f>IF(Ou_Rist_Personalizzazione3_ParReale&gt;0,MIN(Ou_Rist_Personalizzazione3_ParReale,Ou_Rist_Personalizzazione3_ParVirt),Ou_Rist_Personalizzazione3_ParVirt)</f>
        <v>0</v>
      </c>
      <c r="H54" s="56"/>
      <c r="I54" s="26"/>
    </row>
    <row r="55" spans="1:9" s="119" customFormat="1" ht="12.75" hidden="1" customHeight="1" x14ac:dyDescent="0.2">
      <c r="A55" s="26"/>
      <c r="B55" s="834" t="str">
        <f>Parametri_DestUsoPersonalizzazione12</f>
        <v>Destinazione personalizzata 4</v>
      </c>
      <c r="C55" s="835"/>
      <c r="D55" s="622">
        <v>0</v>
      </c>
      <c r="E55" s="172">
        <f>IF(Ou_Rist_Personalizzazione4_CompMet&gt;0,Ou_Rist_Personalizzazione4_CompMet/CostoBase,Ou_Rist_Personalizzazione4_ParReale)</f>
        <v>0</v>
      </c>
      <c r="F55" s="624">
        <v>0</v>
      </c>
      <c r="G55" s="174">
        <f>IF(Ou_Rist_Personalizzazione4_ParReale&gt;0,MIN(Ou_Rist_Personalizzazione4_ParReale,Ou_Rist_Personalizzazione4_ParVirt),Ou_Rist_Personalizzazione4_ParVirt)</f>
        <v>0</v>
      </c>
      <c r="H55" s="56"/>
      <c r="I55" s="26"/>
    </row>
    <row r="56" spans="1:9" s="7" customFormat="1" ht="12.75" hidden="1" customHeight="1" x14ac:dyDescent="0.2">
      <c r="A56" s="26"/>
      <c r="B56" s="834" t="str">
        <f>Parametri_DestUsoPersonalizzazione13</f>
        <v>Destinazione personalizzata 5</v>
      </c>
      <c r="C56" s="835"/>
      <c r="D56" s="621">
        <v>0</v>
      </c>
      <c r="E56" s="172">
        <f>IF(Ou_Rist_Personalizzazione5_CompMet&gt;0,Ou_Rist_Personalizzazione5_CompMet/CostoBase,Ou_Rist_Personalizzazione5_ParReale)</f>
        <v>0</v>
      </c>
      <c r="F56" s="624">
        <v>0</v>
      </c>
      <c r="G56" s="174">
        <f>IF(Ou_Rist_Personalizzazione5_ParReale&gt;0,MIN(Ou_Rist_Personalizzazione5_ParReale,Ou_Rist_Personalizzazione5_ParVirt),Ou_Rist_Personalizzazione5_ParVirt)</f>
        <v>0</v>
      </c>
      <c r="H56" s="56"/>
      <c r="I56" s="26"/>
    </row>
    <row r="57" spans="1:9" s="119" customFormat="1" ht="12.75" customHeight="1" x14ac:dyDescent="0.2">
      <c r="A57" s="26"/>
      <c r="B57" s="67"/>
      <c r="C57" s="115"/>
      <c r="D57" s="282"/>
      <c r="E57" s="175"/>
      <c r="F57" s="283"/>
      <c r="G57" s="176"/>
      <c r="H57" s="56"/>
      <c r="I57" s="26"/>
    </row>
    <row r="58" spans="1:9" s="9" customFormat="1" ht="12.75" customHeight="1" x14ac:dyDescent="0.25">
      <c r="A58" s="35"/>
      <c r="B58" s="959" t="s">
        <v>210</v>
      </c>
      <c r="C58" s="960"/>
      <c r="D58" s="960"/>
      <c r="E58" s="960"/>
      <c r="F58" s="960"/>
      <c r="G58" s="960"/>
      <c r="H58" s="961"/>
      <c r="I58" s="120"/>
    </row>
    <row r="59" spans="1:9" s="7" customFormat="1" ht="12.75" customHeight="1" x14ac:dyDescent="0.2">
      <c r="A59" s="26"/>
      <c r="B59" s="968" t="s">
        <v>122</v>
      </c>
      <c r="C59" s="969"/>
      <c r="D59" s="969"/>
      <c r="E59" s="969"/>
      <c r="F59" s="116" t="s">
        <v>214</v>
      </c>
      <c r="G59" s="117" t="s">
        <v>213</v>
      </c>
      <c r="H59" s="56"/>
      <c r="I59" s="26"/>
    </row>
    <row r="60" spans="1:9" s="7" customFormat="1" ht="12.75" customHeight="1" x14ac:dyDescent="0.2">
      <c r="A60" s="26"/>
      <c r="B60" s="836" t="str">
        <f>Parametri_DestUsoPersonalizzazione1</f>
        <v>Residenziale</v>
      </c>
      <c r="C60" s="860"/>
      <c r="D60" s="860"/>
      <c r="E60" s="837"/>
      <c r="F60" s="617">
        <v>0</v>
      </c>
      <c r="G60" s="625">
        <v>0</v>
      </c>
      <c r="H60" s="56"/>
      <c r="I60" s="26"/>
    </row>
    <row r="61" spans="1:9" s="7" customFormat="1" ht="12.75" customHeight="1" x14ac:dyDescent="0.2">
      <c r="A61" s="26"/>
      <c r="B61" s="834" t="str">
        <f>Parametri_DestUsoPersonalizzazione2</f>
        <v>Artigianato e piccola industria</v>
      </c>
      <c r="C61" s="861"/>
      <c r="D61" s="861"/>
      <c r="E61" s="835"/>
      <c r="F61" s="613">
        <v>0</v>
      </c>
      <c r="G61" s="620">
        <v>0</v>
      </c>
      <c r="H61" s="56"/>
      <c r="I61" s="26"/>
    </row>
    <row r="62" spans="1:9" s="7" customFormat="1" ht="12.75" customHeight="1" x14ac:dyDescent="0.2">
      <c r="A62" s="26"/>
      <c r="B62" s="834" t="str">
        <f>Parametri_DestUsoPersonalizzazione3</f>
        <v>Industria</v>
      </c>
      <c r="C62" s="861"/>
      <c r="D62" s="861"/>
      <c r="E62" s="835"/>
      <c r="F62" s="613">
        <v>0</v>
      </c>
      <c r="G62" s="620">
        <v>0</v>
      </c>
      <c r="H62" s="56"/>
      <c r="I62" s="26"/>
    </row>
    <row r="63" spans="1:9" s="7" customFormat="1" ht="12.75" customHeight="1" x14ac:dyDescent="0.2">
      <c r="A63" s="26"/>
      <c r="B63" s="834" t="str">
        <f>Parametri_DestUsoPersonalizzazione4</f>
        <v>Industriale alberghiera (alberghi)</v>
      </c>
      <c r="C63" s="861"/>
      <c r="D63" s="861"/>
      <c r="E63" s="835"/>
      <c r="F63" s="613">
        <v>0</v>
      </c>
      <c r="G63" s="620">
        <v>0</v>
      </c>
      <c r="H63" s="56"/>
      <c r="I63" s="26"/>
    </row>
    <row r="64" spans="1:9" s="7" customFormat="1" ht="12.75" customHeight="1" x14ac:dyDescent="0.2">
      <c r="A64" s="26"/>
      <c r="B64" s="834" t="str">
        <f>Parametri_DestUsoPersonalizzazione5</f>
        <v>Industriale alberghiera (altre tipologie)</v>
      </c>
      <c r="C64" s="861"/>
      <c r="D64" s="861"/>
      <c r="E64" s="835"/>
      <c r="F64" s="613">
        <v>0</v>
      </c>
      <c r="G64" s="620">
        <v>0</v>
      </c>
      <c r="H64" s="56"/>
      <c r="I64" s="26"/>
    </row>
    <row r="65" spans="1:250" s="7" customFormat="1" ht="12.75" customHeight="1" x14ac:dyDescent="0.2">
      <c r="A65" s="26"/>
      <c r="B65" s="834" t="str">
        <f>Parametri_DestUsoPersonalizzazione6</f>
        <v>Attività direzionali e commerciali</v>
      </c>
      <c r="C65" s="861"/>
      <c r="D65" s="861"/>
      <c r="E65" s="835"/>
      <c r="F65" s="613">
        <v>0</v>
      </c>
      <c r="G65" s="620">
        <v>0</v>
      </c>
      <c r="H65" s="56"/>
      <c r="I65" s="26"/>
    </row>
    <row r="66" spans="1:250" s="7" customFormat="1" ht="12.75" customHeight="1" x14ac:dyDescent="0.2">
      <c r="A66" s="26"/>
      <c r="B66" s="834" t="str">
        <f>Parametri_DestUsoPersonalizzazione7</f>
        <v>Parcheggi coperti e solos autoveicoli (per posto macchina)</v>
      </c>
      <c r="C66" s="861"/>
      <c r="D66" s="861"/>
      <c r="E66" s="835"/>
      <c r="F66" s="613">
        <v>0</v>
      </c>
      <c r="G66" s="620">
        <v>0</v>
      </c>
      <c r="H66" s="56"/>
      <c r="I66" s="26"/>
    </row>
    <row r="67" spans="1:250" s="7" customFormat="1" ht="12.75" customHeight="1" x14ac:dyDescent="0.2">
      <c r="A67" s="26"/>
      <c r="B67" s="834" t="str">
        <f>Parametri_DestUsoPersonalizzazione8</f>
        <v>Attrezzature culturali sanitarie e assistenziali</v>
      </c>
      <c r="C67" s="861"/>
      <c r="D67" s="861"/>
      <c r="E67" s="835"/>
      <c r="F67" s="613">
        <v>0</v>
      </c>
      <c r="G67" s="620">
        <v>0</v>
      </c>
      <c r="H67" s="56"/>
      <c r="I67" s="26"/>
    </row>
    <row r="68" spans="1:250" s="7" customFormat="1" ht="12.75" customHeight="1" x14ac:dyDescent="0.2">
      <c r="A68" s="26"/>
      <c r="B68" s="834" t="str">
        <f>Parametri_DestUsoPersonalizzazione9</f>
        <v>Attrezzature sportive</v>
      </c>
      <c r="C68" s="861"/>
      <c r="D68" s="861"/>
      <c r="E68" s="835"/>
      <c r="F68" s="613">
        <v>0</v>
      </c>
      <c r="G68" s="620">
        <v>0</v>
      </c>
      <c r="H68" s="56"/>
      <c r="I68" s="26"/>
    </row>
    <row r="69" spans="1:250" s="7" customFormat="1" ht="12.75" customHeight="1" x14ac:dyDescent="0.2">
      <c r="A69" s="26"/>
      <c r="B69" s="834" t="str">
        <f>Parametri_DestUsoPersonalizzazione10</f>
        <v>Attrezzature spettacolo</v>
      </c>
      <c r="C69" s="861"/>
      <c r="D69" s="861"/>
      <c r="E69" s="835"/>
      <c r="F69" s="613">
        <v>0</v>
      </c>
      <c r="G69" s="620">
        <v>0</v>
      </c>
      <c r="H69" s="56"/>
      <c r="I69" s="26"/>
    </row>
    <row r="70" spans="1:250" s="7" customFormat="1" ht="12.75" customHeight="1" x14ac:dyDescent="0.2">
      <c r="A70" s="26"/>
      <c r="B70" s="834" t="str">
        <f>Parametri_DestUsoPersonalizzazione11</f>
        <v>Campeggi (per utente)</v>
      </c>
      <c r="C70" s="861"/>
      <c r="D70" s="861"/>
      <c r="E70" s="835"/>
      <c r="F70" s="613">
        <v>0</v>
      </c>
      <c r="G70" s="620">
        <v>0</v>
      </c>
      <c r="H70" s="56"/>
      <c r="I70" s="26"/>
    </row>
    <row r="71" spans="1:250" s="119" customFormat="1" ht="12.75" hidden="1" customHeight="1" x14ac:dyDescent="0.2">
      <c r="A71" s="26"/>
      <c r="B71" s="834" t="str">
        <f>Parametri_DestUsoPersonalizzazione12</f>
        <v>Destinazione personalizzata 4</v>
      </c>
      <c r="C71" s="861"/>
      <c r="D71" s="861"/>
      <c r="E71" s="835"/>
      <c r="F71" s="613">
        <v>0</v>
      </c>
      <c r="G71" s="620">
        <v>0</v>
      </c>
      <c r="H71" s="56"/>
      <c r="I71" s="26"/>
    </row>
    <row r="72" spans="1:250" s="119" customFormat="1" ht="12.75" hidden="1" customHeight="1" x14ac:dyDescent="0.2">
      <c r="A72" s="26"/>
      <c r="B72" s="834" t="str">
        <f>Parametri_DestUsoPersonalizzazione13</f>
        <v>Destinazione personalizzata 5</v>
      </c>
      <c r="C72" s="861"/>
      <c r="D72" s="861"/>
      <c r="E72" s="835"/>
      <c r="F72" s="613">
        <v>0</v>
      </c>
      <c r="G72" s="620">
        <v>0</v>
      </c>
      <c r="H72" s="56"/>
      <c r="I72" s="26"/>
    </row>
    <row r="73" spans="1:250" s="7" customFormat="1" ht="12.75" customHeight="1" thickBot="1" x14ac:dyDescent="0.25">
      <c r="A73" s="26"/>
      <c r="B73" s="105"/>
      <c r="C73" s="88"/>
      <c r="D73" s="88"/>
      <c r="E73" s="88"/>
      <c r="F73" s="88"/>
      <c r="G73" s="88"/>
      <c r="H73" s="70"/>
      <c r="I73" s="26"/>
    </row>
    <row r="74" spans="1:250" s="7" customFormat="1" ht="12.75" customHeight="1" thickBot="1" x14ac:dyDescent="0.25">
      <c r="A74" s="26"/>
      <c r="B74" s="2"/>
      <c r="C74" s="2"/>
      <c r="D74" s="2"/>
      <c r="E74" s="2"/>
      <c r="F74" s="2"/>
      <c r="G74" s="2"/>
      <c r="H74" s="2"/>
      <c r="I74" s="2"/>
    </row>
    <row r="75" spans="1:250" s="9" customFormat="1" ht="12.75" customHeight="1" x14ac:dyDescent="0.2">
      <c r="A75" s="35"/>
      <c r="B75" s="838" t="s">
        <v>355</v>
      </c>
      <c r="C75" s="839"/>
      <c r="D75" s="839"/>
      <c r="E75" s="839"/>
      <c r="F75" s="839"/>
      <c r="G75" s="839"/>
      <c r="H75" s="840"/>
      <c r="I75" s="120"/>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row>
    <row r="76" spans="1:250" s="7" customFormat="1" ht="12.75" customHeight="1" x14ac:dyDescent="0.2">
      <c r="A76" s="26"/>
      <c r="B76" s="919" t="s">
        <v>216</v>
      </c>
      <c r="C76" s="956"/>
      <c r="D76" s="956"/>
      <c r="E76" s="956"/>
      <c r="F76" s="957"/>
      <c r="G76" s="954" t="s">
        <v>179</v>
      </c>
      <c r="H76" s="56"/>
      <c r="I76" s="2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row>
    <row r="77" spans="1:250" s="119" customFormat="1" ht="12.75" customHeight="1" x14ac:dyDescent="0.2">
      <c r="A77" s="26"/>
      <c r="B77" s="962" t="str">
        <f>IF(ZonaMonetizzazioneAreeStand&lt;&gt;"",(VLOOKUP(ZonaMonetizzazioneAreeStand,Parametri_ElencoZoneMatrice,2,FALSE)),"")</f>
        <v>Selezionare la zona</v>
      </c>
      <c r="C77" s="963"/>
      <c r="D77" s="963"/>
      <c r="E77" s="963"/>
      <c r="F77" s="964"/>
      <c r="G77" s="955"/>
      <c r="H77" s="56"/>
      <c r="I77" s="26"/>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row>
    <row r="78" spans="1:250" s="7" customFormat="1" ht="12.75" customHeight="1" x14ac:dyDescent="0.2">
      <c r="A78" s="26"/>
      <c r="B78" s="834" t="s">
        <v>101</v>
      </c>
      <c r="C78" s="861"/>
      <c r="D78" s="861"/>
      <c r="E78" s="861"/>
      <c r="F78" s="835"/>
      <c r="G78" s="626">
        <v>0</v>
      </c>
      <c r="H78" s="56"/>
      <c r="I78" s="26"/>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row>
    <row r="79" spans="1:250" s="7" customFormat="1" ht="12.75" customHeight="1" thickBot="1" x14ac:dyDescent="0.25">
      <c r="A79" s="26"/>
      <c r="B79" s="105"/>
      <c r="C79" s="88"/>
      <c r="D79" s="88"/>
      <c r="E79" s="88"/>
      <c r="F79" s="88"/>
      <c r="G79" s="88"/>
      <c r="H79" s="70"/>
      <c r="I79" s="26"/>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row>
    <row r="80" spans="1:250" s="49" customFormat="1" ht="12.75" hidden="1" customHeight="1" thickBot="1" x14ac:dyDescent="0.25">
      <c r="A80" s="50"/>
      <c r="B80" s="2"/>
      <c r="C80" s="2"/>
      <c r="D80" s="2"/>
      <c r="E80" s="2"/>
      <c r="F80" s="2"/>
      <c r="G80" s="2"/>
      <c r="H80" s="2"/>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row>
    <row r="81" spans="1:250" s="7" customFormat="1" ht="12.75" hidden="1" customHeight="1" x14ac:dyDescent="0.2">
      <c r="A81" s="35"/>
      <c r="B81" s="838" t="s">
        <v>354</v>
      </c>
      <c r="C81" s="839"/>
      <c r="D81" s="839"/>
      <c r="E81" s="839"/>
      <c r="F81" s="839"/>
      <c r="G81" s="839"/>
      <c r="H81" s="840"/>
      <c r="I81" s="120"/>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row>
    <row r="82" spans="1:250" s="7" customFormat="1" ht="12.75" hidden="1" customHeight="1" x14ac:dyDescent="0.2">
      <c r="A82" s="26"/>
      <c r="B82" s="919" t="s">
        <v>216</v>
      </c>
      <c r="C82" s="956"/>
      <c r="D82" s="956"/>
      <c r="E82" s="956"/>
      <c r="F82" s="957"/>
      <c r="G82" s="946" t="s">
        <v>179</v>
      </c>
      <c r="H82" s="56"/>
      <c r="I82" s="26"/>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row>
    <row r="83" spans="1:250" s="119" customFormat="1" ht="12.75" hidden="1" customHeight="1" x14ac:dyDescent="0.2">
      <c r="A83" s="26"/>
      <c r="B83" s="962" t="str">
        <f>IF(ZonaMonetizzazioneParcheg&lt;&gt;"",(VLOOKUP(ZonaMonetizzazioneParcheg,Parametri_ElencoZoneParcheggiMatrice,2,FALSE)),"")</f>
        <v>Selezionare la zona</v>
      </c>
      <c r="C83" s="963"/>
      <c r="D83" s="963"/>
      <c r="E83" s="963"/>
      <c r="F83" s="964"/>
      <c r="G83" s="947"/>
      <c r="H83" s="56"/>
      <c r="I83" s="26"/>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row>
    <row r="84" spans="1:250" s="9" customFormat="1" ht="12.75" hidden="1" customHeight="1" x14ac:dyDescent="0.2">
      <c r="A84" s="26"/>
      <c r="B84" s="834" t="s">
        <v>101</v>
      </c>
      <c r="C84" s="861"/>
      <c r="D84" s="861"/>
      <c r="E84" s="861"/>
      <c r="F84" s="835"/>
      <c r="G84" s="627">
        <v>0</v>
      </c>
      <c r="H84" s="56"/>
      <c r="I84" s="26"/>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row>
    <row r="85" spans="1:250" s="7" customFormat="1" ht="12.75" hidden="1" customHeight="1" thickBot="1" x14ac:dyDescent="0.25">
      <c r="A85" s="26"/>
      <c r="B85" s="105"/>
      <c r="C85" s="88"/>
      <c r="D85" s="88"/>
      <c r="E85" s="88"/>
      <c r="F85" s="88"/>
      <c r="G85" s="88"/>
      <c r="H85" s="70"/>
      <c r="I85" s="26"/>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row>
    <row r="86" spans="1:250" s="7" customFormat="1" x14ac:dyDescent="0.2">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row>
    <row r="87" spans="1:250" s="9" customFormat="1" hidden="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row>
    <row r="88" spans="1:250" s="7" customFormat="1" hidden="1" x14ac:dyDescent="0.2">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row>
    <row r="89" spans="1:250" s="7" customFormat="1" hidden="1" x14ac:dyDescent="0.2">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row>
  </sheetData>
  <sheetProtection password="83CC" sheet="1" objects="1" scenarios="1" formatColumns="0" formatRows="0" insertRows="0"/>
  <dataConsolidate/>
  <mergeCells count="77">
    <mergeCell ref="B56:C56"/>
    <mergeCell ref="B55:C55"/>
    <mergeCell ref="B50:C50"/>
    <mergeCell ref="B38:H38"/>
    <mergeCell ref="B46:C46"/>
    <mergeCell ref="B47:C47"/>
    <mergeCell ref="B48:C48"/>
    <mergeCell ref="B49:C49"/>
    <mergeCell ref="B40:C40"/>
    <mergeCell ref="B42:H42"/>
    <mergeCell ref="B43:C43"/>
    <mergeCell ref="B44:C44"/>
    <mergeCell ref="B45:C45"/>
    <mergeCell ref="B1:H1"/>
    <mergeCell ref="B70:E70"/>
    <mergeCell ref="B75:H75"/>
    <mergeCell ref="B76:F76"/>
    <mergeCell ref="B77:F77"/>
    <mergeCell ref="B67:E67"/>
    <mergeCell ref="B68:E68"/>
    <mergeCell ref="B69:E69"/>
    <mergeCell ref="B52:C52"/>
    <mergeCell ref="B53:C53"/>
    <mergeCell ref="B54:C54"/>
    <mergeCell ref="B58:H58"/>
    <mergeCell ref="B59:E59"/>
    <mergeCell ref="B60:E60"/>
    <mergeCell ref="B51:C51"/>
    <mergeCell ref="B36:F36"/>
    <mergeCell ref="B82:F82"/>
    <mergeCell ref="B83:F83"/>
    <mergeCell ref="B84:F84"/>
    <mergeCell ref="B81:H81"/>
    <mergeCell ref="B61:E61"/>
    <mergeCell ref="B62:E62"/>
    <mergeCell ref="B63:E63"/>
    <mergeCell ref="B64:E64"/>
    <mergeCell ref="B65:E65"/>
    <mergeCell ref="B66:E66"/>
    <mergeCell ref="B78:F78"/>
    <mergeCell ref="B71:E71"/>
    <mergeCell ref="B72:E72"/>
    <mergeCell ref="B27:F27"/>
    <mergeCell ref="B20:F20"/>
    <mergeCell ref="B21:F21"/>
    <mergeCell ref="B22:F22"/>
    <mergeCell ref="B28:F28"/>
    <mergeCell ref="B29:F29"/>
    <mergeCell ref="B30:F30"/>
    <mergeCell ref="B34:H34"/>
    <mergeCell ref="B35:H35"/>
    <mergeCell ref="B31:F31"/>
    <mergeCell ref="B32:F32"/>
    <mergeCell ref="G3:G4"/>
    <mergeCell ref="B18:H18"/>
    <mergeCell ref="B13:F13"/>
    <mergeCell ref="B26:F26"/>
    <mergeCell ref="B6:F6"/>
    <mergeCell ref="B7:F7"/>
    <mergeCell ref="B4:F4"/>
    <mergeCell ref="B12:H12"/>
    <mergeCell ref="B2:H2"/>
    <mergeCell ref="I6:I7"/>
    <mergeCell ref="G82:G83"/>
    <mergeCell ref="B8:F8"/>
    <mergeCell ref="B9:F9"/>
    <mergeCell ref="B19:F19"/>
    <mergeCell ref="F39:G39"/>
    <mergeCell ref="B23:F23"/>
    <mergeCell ref="B16:F16"/>
    <mergeCell ref="B14:F14"/>
    <mergeCell ref="G76:G77"/>
    <mergeCell ref="B3:F3"/>
    <mergeCell ref="B5:F5"/>
    <mergeCell ref="B15:F15"/>
    <mergeCell ref="B24:F24"/>
    <mergeCell ref="B25:F25"/>
  </mergeCells>
  <phoneticPr fontId="4" type="noConversion"/>
  <conditionalFormatting sqref="G13:G16">
    <cfRule type="expression" dxfId="229" priority="147" stopIfTrue="1">
      <formula>selezione_oneri_ristrutturazione="x"</formula>
    </cfRule>
    <cfRule type="expression" dxfId="228" priority="150" stopIfTrue="1">
      <formula>selezione_oneri_sottotetti="x"</formula>
    </cfRule>
    <cfRule type="expression" dxfId="227" priority="151" stopIfTrue="1">
      <formula>selezione_oneri_cambio_uso="x"</formula>
    </cfRule>
    <cfRule type="expression" dxfId="226" priority="174">
      <formula>AND(selezione_passo_descrizione_intervento="x",selezione_parcheggi_sottotetti="x",selezione_calcolo_completo="o")</formula>
    </cfRule>
    <cfRule type="expression" dxfId="225" priority="178">
      <formula>AND(selezione_passo_descrizione_intervento="x",selezione_monetizzazione_nuova_costr="x",selezione_calcolo_completo="o")</formula>
    </cfRule>
  </conditionalFormatting>
  <conditionalFormatting sqref="D40:F40 G13:G16 G20:G32">
    <cfRule type="expression" dxfId="224" priority="155">
      <formula>AND(selezione_passo_descrizione_intervento="x",selezione_monetizzazione_nuova_costr="o",selezione_calcolo_completo="o")</formula>
    </cfRule>
    <cfRule type="expression" dxfId="223" priority="156">
      <formula>AND(selezione_passo_descrizione_intervento="x",selezione_monetizzazione_ampliamento="o",selezione_calcolo_completo="o")</formula>
    </cfRule>
    <cfRule type="expression" dxfId="222" priority="157">
      <formula>AND(selezione_passo_descrizione_intervento="x",selezione_monetizzazione_ampliamento="x",selezione_calcolo_completo="o")</formula>
    </cfRule>
    <cfRule type="expression" dxfId="221" priority="158">
      <formula>AND(selezione_passo_descrizione_intervento="x",selezione_parcheggi_sottotetti="o",selezione_calcolo_completo="o")</formula>
    </cfRule>
    <cfRule type="expression" dxfId="220" priority="159">
      <formula>AND(selezione_passo_descrizione_intervento="x",selezione_monetizzazione_sottotetti="x",selezione_calcolo_completo="o")</formula>
    </cfRule>
    <cfRule type="expression" dxfId="219" priority="160">
      <formula>AND(selezione_passo_descrizione_intervento="x",selezione_monetizzazione_cambio_uso="o",selezione_calcolo_completo="o")</formula>
    </cfRule>
    <cfRule type="expression" dxfId="218" priority="161">
      <formula>AND(selezione_passo_descrizione_intervento="x",selezione_monetizzazione_cambio_uso="x",selezione_calcolo_completo="o")</formula>
    </cfRule>
  </conditionalFormatting>
  <conditionalFormatting sqref="G13:G16 D40:F40 G20:G32">
    <cfRule type="expression" dxfId="217" priority="148" stopIfTrue="1">
      <formula>selezione_oneri_ampliamento="x"</formula>
    </cfRule>
    <cfRule type="expression" dxfId="216" priority="149" stopIfTrue="1">
      <formula>AND(selezione_oneri_nuova_costruzione="x")</formula>
    </cfRule>
  </conditionalFormatting>
  <conditionalFormatting sqref="F44:F54 D44:D56">
    <cfRule type="expression" dxfId="215" priority="129" stopIfTrue="1">
      <formula>selezione_oneri_ristrutturazione="x"</formula>
    </cfRule>
    <cfRule type="expression" dxfId="214" priority="130">
      <formula>AND(selezione_passo_descrizione_intervento="x",selezione_oneri_nuova_costruzione="o",selezione_calcolo_completo="o")</formula>
    </cfRule>
    <cfRule type="expression" dxfId="213" priority="131">
      <formula>AND(selezione_passo_descrizione_intervento="x",selezione_oneri_nuova_costruzione="x",selezione_calcolo_completo="o")</formula>
    </cfRule>
    <cfRule type="expression" dxfId="212" priority="132">
      <formula>AND(selezione_passo_descrizione_intervento="x",selezione_oneri_ampliamento="o",selezione_calcolo_completo="o")</formula>
    </cfRule>
    <cfRule type="expression" dxfId="211" priority="133">
      <formula>AND(selezione_passo_descrizione_intervento="x",selezione_oneri_ampliamento="x",selezione_calcolo_completo="o")</formula>
    </cfRule>
    <cfRule type="expression" dxfId="210" priority="134">
      <formula>AND(selezione_passo_descrizione_intervento="x",selezione_oneri_costr_standard_ristrutturazione="o",selezione_calcolo_completo="o")</formula>
    </cfRule>
    <cfRule type="expression" dxfId="209" priority="135">
      <formula>AND(selezione_passo_descrizione_intervento="x",selezione_oneri_sottotetti="o",selezione_calcolo_completo="o")</formula>
    </cfRule>
    <cfRule type="expression" dxfId="208" priority="136">
      <formula>AND(selezione_passo_descrizione_intervento="x",selezione_oneri_sottotetti="x",selezione_calcolo_completo="o")</formula>
    </cfRule>
    <cfRule type="expression" dxfId="207" priority="137">
      <formula>AND(selezione_passo_descrizione_intervento="x",selezione_monetizzazione_nuova_costr="o",selezione_calcolo_completo="o")</formula>
    </cfRule>
    <cfRule type="expression" dxfId="206" priority="138">
      <formula>AND(selezione_passo_descrizione_intervento="x",selezione_monetizzazione_nuova_costr="x",selezione_calcolo_completo="o")</formula>
    </cfRule>
    <cfRule type="expression" dxfId="205" priority="139">
      <formula>AND(selezione_passo_descrizione_intervento="x",selezione_monetizzazione_ampliamento="o",selezione_calcolo_completo="o")</formula>
    </cfRule>
    <cfRule type="expression" dxfId="204" priority="140">
      <formula>AND(selezione_passo_descrizione_intervento="x",selezione_monetizzazione_ampliamento="x",selezione_calcolo_completo="o")</formula>
    </cfRule>
    <cfRule type="expression" dxfId="203" priority="141">
      <formula>AND(selezione_passo_descrizione_intervento="x",selezione_parcheggi_sottotetti="o",selezione_calcolo_completo="o")</formula>
    </cfRule>
    <cfRule type="expression" dxfId="202" priority="142">
      <formula>AND(selezione_passo_descrizione_intervento="x",selezione_parcheggi_sottotetti="x",selezione_calcolo_completo="o")</formula>
    </cfRule>
    <cfRule type="expression" dxfId="201" priority="143">
      <formula>AND(selezione_passo_descrizione_intervento="x",selezione_monetizzazione_sottotetti="o",selezione_calcolo_completo="o")</formula>
    </cfRule>
    <cfRule type="expression" dxfId="200" priority="144">
      <formula>AND(selezione_passo_descrizione_intervento="x",selezione_monetizzazione_sottotetti="x",selezione_calcolo_completo="o")</formula>
    </cfRule>
    <cfRule type="expression" dxfId="199" priority="145">
      <formula>AND(selezione_passo_descrizione_intervento="x",selezione_monetizzazione_cambio_uso="o",selezione_calcolo_completo="o")</formula>
    </cfRule>
    <cfRule type="expression" dxfId="198" priority="146">
      <formula>AND(selezione_passo_descrizione_intervento="x",selezione_monetizzazione_cambio_uso="x",selezione_calcolo_completo="o")</formula>
    </cfRule>
  </conditionalFormatting>
  <conditionalFormatting sqref="G36">
    <cfRule type="expression" dxfId="197" priority="110" stopIfTrue="1">
      <formula>selezione_oneri_sottotetti="x"</formula>
    </cfRule>
    <cfRule type="expression" dxfId="196" priority="111">
      <formula>AND(selezione_passo_descrizione_intervento="x",selezione_oneri_nuova_costruzione="o",selezione_calcolo_completo="o")</formula>
    </cfRule>
    <cfRule type="expression" dxfId="195" priority="112">
      <formula>AND(selezione_passo_descrizione_intervento="x",selezione_oneri_nuova_costruzione="x",selezione_calcolo_completo="o")</formula>
    </cfRule>
    <cfRule type="expression" dxfId="194" priority="113">
      <formula>AND(selezione_passo_descrizione_intervento="x",selezione_oneri_ampliamento="o",selezione_calcolo_completo="o")</formula>
    </cfRule>
    <cfRule type="expression" dxfId="193" priority="114">
      <formula>AND(selezione_passo_descrizione_intervento="x",selezione_oneri_ampliamento="x",selezione_calcolo_completo="o")</formula>
    </cfRule>
    <cfRule type="expression" dxfId="192" priority="115">
      <formula>AND(selezione_passo_descrizione_intervento="x",selezione_oneri_ristrutturazione="o",selezione_calcolo_completo="o")</formula>
    </cfRule>
    <cfRule type="expression" dxfId="191" priority="116">
      <formula>AND(selezione_passo_descrizione_intervento="x",selezione_oneri_ristrutturazione="x",selezione_calcolo_completo="o")</formula>
    </cfRule>
    <cfRule type="expression" dxfId="190" priority="117">
      <formula>AND(selezione_passo_descrizione_intervento="x",selezione_oneri_cambio_uso="x",selezione_calcolo_completo="o")</formula>
    </cfRule>
    <cfRule type="expression" dxfId="189" priority="118">
      <formula>AND(selezione_passo_descrizione_intervento="x",selezione_oneri_cambio_uso="o",selezione_calcolo_completo="o")</formula>
    </cfRule>
    <cfRule type="expression" dxfId="188" priority="119">
      <formula>AND(selezione_passo_descrizione_intervento="x",selezione_monetizzazione_nuova_costr="o",selezione_calcolo_completo="o")</formula>
    </cfRule>
    <cfRule type="expression" dxfId="187" priority="120">
      <formula>AND(selezione_passo_descrizione_intervento="x",selezione_monetizzazione_nuova_costr="x",selezione_calcolo_completo="o")</formula>
    </cfRule>
    <cfRule type="expression" dxfId="186" priority="121">
      <formula>AND(selezione_passo_descrizione_intervento="x",selezione_monetizzazione_ampliamento="o",selezione_calcolo_completo="o")</formula>
    </cfRule>
    <cfRule type="expression" dxfId="185" priority="122">
      <formula>AND(selezione_passo_descrizione_intervento="x",selezione_monetizzazione_ampliamento="x",selezione_calcolo_completo="o")</formula>
    </cfRule>
    <cfRule type="expression" dxfId="184" priority="123">
      <formula>AND(selezione_passo_descrizione_intervento="x",selezione_parcheggi_sottotetti="o",selezione_calcolo_completo="o")</formula>
    </cfRule>
    <cfRule type="expression" dxfId="183" priority="124">
      <formula>AND(selezione_passo_descrizione_intervento="x",selezione_parcheggi_sottotetti="x",selezione_calcolo_completo="o")</formula>
    </cfRule>
    <cfRule type="expression" dxfId="182" priority="125">
      <formula>AND(selezione_passo_descrizione_intervento="x",selezione_monetizzazione_sottotetti="o",selezione_calcolo_completo="o")</formula>
    </cfRule>
    <cfRule type="expression" dxfId="181" priority="126">
      <formula>AND(selezione_passo_descrizione_intervento="x",selezione_monetizzazione_sottotetti="x",selezione_calcolo_completo="o")</formula>
    </cfRule>
    <cfRule type="expression" dxfId="180" priority="127">
      <formula>AND(selezione_passo_descrizione_intervento="x",selezione_monetizzazione_cambio_uso="o",selezione_calcolo_completo="o")</formula>
    </cfRule>
    <cfRule type="expression" dxfId="179" priority="128">
      <formula>AND(selezione_passo_descrizione_intervento="x",selezione_monetizzazione_cambio_uso="x",selezione_calcolo_completo="o")</formula>
    </cfRule>
  </conditionalFormatting>
  <conditionalFormatting sqref="F60:G70">
    <cfRule type="expression" dxfId="178" priority="91" stopIfTrue="1">
      <formula>selezione_oneri_cambio_uso="x"</formula>
    </cfRule>
    <cfRule type="expression" dxfId="177" priority="92">
      <formula>AND(selezione_passo_descrizione_intervento="x",selezione_oneri_sottotetti="x",selezione_calcolo_completo="o")</formula>
    </cfRule>
    <cfRule type="expression" dxfId="176" priority="93">
      <formula>AND(selezione_passo_descrizione_intervento="x",selezione_oneri_sottotetti="o",selezione_calcolo_completo="o")</formula>
    </cfRule>
    <cfRule type="expression" dxfId="175" priority="94">
      <formula>AND(selezione_passo_descrizione_intervento="x",selezione_oneri_nuova_costruzione="o",selezione_calcolo_completo="o")</formula>
    </cfRule>
    <cfRule type="expression" dxfId="174" priority="95">
      <formula>AND(selezione_passo_descrizione_intervento="x",selezione_oneri_nuova_costruzione="x",selezione_calcolo_completo="o")</formula>
    </cfRule>
    <cfRule type="expression" dxfId="173" priority="96">
      <formula>AND(selezione_passo_descrizione_intervento="x",selezione_oneri_ampliamento="o",selezione_calcolo_completo="o")</formula>
    </cfRule>
    <cfRule type="expression" dxfId="172" priority="97">
      <formula>AND(selezione_passo_descrizione_intervento="x",selezione_oneri_ampliamento="x",selezione_calcolo_completo="o")</formula>
    </cfRule>
    <cfRule type="expression" dxfId="171" priority="98">
      <formula>AND(selezione_passo_descrizione_intervento="x",selezione_oneri_ristrutturazione="o",selezione_calcolo_completo="o")</formula>
    </cfRule>
    <cfRule type="expression" dxfId="170" priority="99">
      <formula>AND(selezione_passo_descrizione_intervento="x",selezione_oneri_ristrutturazione="x",selezione_calcolo_completo="o")</formula>
    </cfRule>
    <cfRule type="expression" dxfId="169" priority="100">
      <formula>AND(selezione_passo_descrizione_intervento="x",selezione_monetizzazione_nuova_costr="o",selezione_calcolo_completo="o")</formula>
    </cfRule>
    <cfRule type="expression" dxfId="168" priority="101">
      <formula>AND(selezione_passo_descrizione_intervento="x",selezione_monetizzazione_nuova_costr="x",selezione_calcolo_completo="o")</formula>
    </cfRule>
    <cfRule type="expression" dxfId="167" priority="102">
      <formula>AND(selezione_passo_descrizione_intervento="x",selezione_monetizzazione_ampliamento="o",selezione_calcolo_completo="o")</formula>
    </cfRule>
    <cfRule type="expression" dxfId="166" priority="103">
      <formula>AND(selezione_passo_descrizione_intervento="x",selezione_monetizzazione_ampliamento="x",selezione_calcolo_completo="o")</formula>
    </cfRule>
    <cfRule type="expression" dxfId="165" priority="104">
      <formula>AND(selezione_passo_descrizione_intervento="x",selezione_parcheggi_sottotetti="o",selezione_calcolo_completo="o")</formula>
    </cfRule>
    <cfRule type="expression" dxfId="164" priority="105">
      <formula>AND(selezione_passo_descrizione_intervento="x",selezione_parcheggi_sottotetti="x",selezione_calcolo_completo="o")</formula>
    </cfRule>
    <cfRule type="expression" dxfId="163" priority="106">
      <formula>AND(selezione_passo_descrizione_intervento="x",selezione_monetizzazione_sottotetti="o",selezione_calcolo_completo="o")</formula>
    </cfRule>
    <cfRule type="expression" dxfId="162" priority="107">
      <formula>AND(selezione_passo_descrizione_intervento="x",selezione_monetizzazione_sottotetti="x",selezione_calcolo_completo="o")</formula>
    </cfRule>
    <cfRule type="expression" dxfId="161" priority="108">
      <formula>AND(selezione_passo_descrizione_intervento="x",selezione_monetizzazione_cambio_uso="o",selezione_calcolo_completo="o")</formula>
    </cfRule>
    <cfRule type="expression" dxfId="160" priority="109">
      <formula>AND(selezione_passo_descrizione_intervento="x",selezione_monetizzazione_cambio_uso="x",selezione_calcolo_completo="o")</formula>
    </cfRule>
  </conditionalFormatting>
  <conditionalFormatting sqref="G76:G78 G82:G84">
    <cfRule type="expression" dxfId="159" priority="75" stopIfTrue="1">
      <formula>selezione_monetizzazione_cambio_uso="x"</formula>
    </cfRule>
    <cfRule type="expression" dxfId="158" priority="76" stopIfTrue="1">
      <formula>selezione_monetizzazione_sottotetti="x"</formula>
    </cfRule>
    <cfRule type="expression" dxfId="157" priority="77" stopIfTrue="1">
      <formula>selezione_monetizzazione_ampliamento="x"</formula>
    </cfRule>
    <cfRule type="expression" dxfId="156" priority="78" stopIfTrue="1">
      <formula>selezione_monetizzazione_nuova_costr="x"</formula>
    </cfRule>
    <cfRule type="expression" dxfId="155" priority="79">
      <formula>AND(selezione_passo_descrizione_intervento="x",selezione_oneri_nuova_costruzione="o",selezione_calcolo_completo="o")</formula>
    </cfRule>
    <cfRule type="expression" dxfId="154" priority="80">
      <formula>AND(selezione_passo_descrizione_intervento="x",selezione_oneri_nuova_costruzione="x",selezione_calcolo_completo="o")</formula>
    </cfRule>
    <cfRule type="expression" dxfId="153" priority="81">
      <formula>AND(selezione_passo_descrizione_intervento="x",selezione_oneri_ampliamento="o",selezione_calcolo_completo="o")</formula>
    </cfRule>
    <cfRule type="expression" dxfId="152" priority="82">
      <formula>AND(selezione_passo_descrizione_intervento="x",selezione_oneri_ampliamento="x",selezione_calcolo_completo="o")</formula>
    </cfRule>
    <cfRule type="expression" dxfId="151" priority="83">
      <formula>AND(selezione_passo_descrizione_intervento="x",selezione_oneri_ristrutturazione="o",selezione_calcolo_completo="o")</formula>
    </cfRule>
    <cfRule type="expression" dxfId="150" priority="84">
      <formula>AND(selezione_passo_descrizione_intervento="x",selezione_oneri_ristrutturazione="x",selezione_calcolo_completo="o")</formula>
    </cfRule>
    <cfRule type="expression" dxfId="149" priority="85">
      <formula>AND(selezione_passo_descrizione_intervento="x",selezione_oneri_sottotetti="o",selezione_calcolo_completo="o")</formula>
    </cfRule>
    <cfRule type="expression" dxfId="148" priority="86">
      <formula>AND(selezione_passo_descrizione_intervento="x",selezione_oneri_sottotetti="x",selezione_calcolo_completo="o")</formula>
    </cfRule>
    <cfRule type="expression" dxfId="147" priority="87">
      <formula>AND(selezione_passo_descrizione_intervento="x",selezione_oneri_cambio_uso="x",selezione_calcolo_completo="o")</formula>
    </cfRule>
    <cfRule type="expression" dxfId="146" priority="88">
      <formula>AND(selezione_passo_descrizione_intervento="x",selezione_oneri_cambio_uso="o",selezione_calcolo_completo="o")</formula>
    </cfRule>
    <cfRule type="expression" dxfId="145" priority="89">
      <formula>AND(selezione_passo_descrizione_intervento="x",selezione_parcheggi_sottotetti="o",selezione_calcolo_completo="o")</formula>
    </cfRule>
    <cfRule type="expression" dxfId="144" priority="90">
      <formula>AND(selezione_passo_descrizione_intervento="x",selezione_parcheggi_sottotetti="x",selezione_calcolo_completo="o")</formula>
    </cfRule>
  </conditionalFormatting>
  <conditionalFormatting sqref="F71:G72">
    <cfRule type="expression" dxfId="143" priority="37" stopIfTrue="1">
      <formula>selezione_oneri_cambio_uso="x"</formula>
    </cfRule>
    <cfRule type="expression" dxfId="142" priority="38">
      <formula>AND(selezione_passo_descrizione_intervento="x",selezione_oneri_sottotetti="x",selezione_calcolo_completo="o")</formula>
    </cfRule>
    <cfRule type="expression" dxfId="141" priority="39">
      <formula>AND(selezione_passo_descrizione_intervento="x",selezione_oneri_sottotetti="o",selezione_calcolo_completo="o")</formula>
    </cfRule>
    <cfRule type="expression" dxfId="140" priority="40">
      <formula>AND(selezione_passo_descrizione_intervento="x",selezione_oneri_nuova_costruzione="o",selezione_calcolo_completo="o")</formula>
    </cfRule>
    <cfRule type="expression" dxfId="139" priority="41">
      <formula>AND(selezione_passo_descrizione_intervento="x",selezione_oneri_nuova_costruzione="x",selezione_calcolo_completo="o")</formula>
    </cfRule>
    <cfRule type="expression" dxfId="138" priority="42">
      <formula>AND(selezione_passo_descrizione_intervento="x",selezione_oneri_ampliamento="o",selezione_calcolo_completo="o")</formula>
    </cfRule>
    <cfRule type="expression" dxfId="137" priority="43">
      <formula>AND(selezione_passo_descrizione_intervento="x",selezione_oneri_ampliamento="x",selezione_calcolo_completo="o")</formula>
    </cfRule>
    <cfRule type="expression" dxfId="136" priority="44">
      <formula>AND(selezione_passo_descrizione_intervento="x",selezione_oneri_ristrutturazione="o",selezione_calcolo_completo="o")</formula>
    </cfRule>
    <cfRule type="expression" dxfId="135" priority="45">
      <formula>AND(selezione_passo_descrizione_intervento="x",selezione_oneri_ristrutturazione="x",selezione_calcolo_completo="o")</formula>
    </cfRule>
    <cfRule type="expression" dxfId="134" priority="46">
      <formula>AND(selezione_passo_descrizione_intervento="x",selezione_monetizzazione_nuova_costr="o",selezione_calcolo_completo="o")</formula>
    </cfRule>
    <cfRule type="expression" dxfId="133" priority="47">
      <formula>AND(selezione_passo_descrizione_intervento="x",selezione_monetizzazione_nuova_costr="x",selezione_calcolo_completo="o")</formula>
    </cfRule>
    <cfRule type="expression" dxfId="132" priority="48">
      <formula>AND(selezione_passo_descrizione_intervento="x",selezione_monetizzazione_ampliamento="o",selezione_calcolo_completo="o")</formula>
    </cfRule>
    <cfRule type="expression" dxfId="131" priority="49">
      <formula>AND(selezione_passo_descrizione_intervento="x",selezione_monetizzazione_ampliamento="x",selezione_calcolo_completo="o")</formula>
    </cfRule>
    <cfRule type="expression" dxfId="130" priority="50">
      <formula>AND(selezione_passo_descrizione_intervento="x",selezione_parcheggi_sottotetti="o",selezione_calcolo_completo="o")</formula>
    </cfRule>
    <cfRule type="expression" dxfId="129" priority="51">
      <formula>AND(selezione_passo_descrizione_intervento="x",selezione_parcheggi_sottotetti="x",selezione_calcolo_completo="o")</formula>
    </cfRule>
    <cfRule type="expression" dxfId="128" priority="52">
      <formula>AND(selezione_passo_descrizione_intervento="x",selezione_monetizzazione_sottotetti="o",selezione_calcolo_completo="o")</formula>
    </cfRule>
    <cfRule type="expression" dxfId="127" priority="53">
      <formula>AND(selezione_passo_descrizione_intervento="x",selezione_monetizzazione_sottotetti="x",selezione_calcolo_completo="o")</formula>
    </cfRule>
    <cfRule type="expression" dxfId="126" priority="54">
      <formula>AND(selezione_passo_descrizione_intervento="x",selezione_monetizzazione_cambio_uso="o",selezione_calcolo_completo="o")</formula>
    </cfRule>
    <cfRule type="expression" dxfId="125" priority="55">
      <formula>AND(selezione_passo_descrizione_intervento="x",selezione_monetizzazione_cambio_uso="x",selezione_calcolo_completo="o")</formula>
    </cfRule>
  </conditionalFormatting>
  <conditionalFormatting sqref="F56">
    <cfRule type="expression" dxfId="124" priority="19" stopIfTrue="1">
      <formula>selezione_oneri_ristrutturazione="x"</formula>
    </cfRule>
    <cfRule type="expression" dxfId="123" priority="20">
      <formula>AND(selezione_passo_descrizione_intervento="x",selezione_oneri_nuova_costruzione="o",selezione_calcolo_completo="o")</formula>
    </cfRule>
    <cfRule type="expression" dxfId="122" priority="21">
      <formula>AND(selezione_passo_descrizione_intervento="x",selezione_oneri_nuova_costruzione="x",selezione_calcolo_completo="o")</formula>
    </cfRule>
    <cfRule type="expression" dxfId="121" priority="22">
      <formula>AND(selezione_passo_descrizione_intervento="x",selezione_oneri_ampliamento="o",selezione_calcolo_completo="o")</formula>
    </cfRule>
    <cfRule type="expression" dxfId="120" priority="23">
      <formula>AND(selezione_passo_descrizione_intervento="x",selezione_oneri_ampliamento="x",selezione_calcolo_completo="o")</formula>
    </cfRule>
    <cfRule type="expression" dxfId="119" priority="24">
      <formula>AND(selezione_passo_descrizione_intervento="x",selezione_oneri_costr_standard_ristrutturazione="o",selezione_calcolo_completo="o")</formula>
    </cfRule>
    <cfRule type="expression" dxfId="118" priority="25">
      <formula>AND(selezione_passo_descrizione_intervento="x",selezione_oneri_sottotetti="o",selezione_calcolo_completo="o")</formula>
    </cfRule>
    <cfRule type="expression" dxfId="117" priority="26">
      <formula>AND(selezione_passo_descrizione_intervento="x",selezione_oneri_sottotetti="x",selezione_calcolo_completo="o")</formula>
    </cfRule>
    <cfRule type="expression" dxfId="116" priority="27">
      <formula>AND(selezione_passo_descrizione_intervento="x",selezione_monetizzazione_nuova_costr="o",selezione_calcolo_completo="o")</formula>
    </cfRule>
    <cfRule type="expression" dxfId="115" priority="28">
      <formula>AND(selezione_passo_descrizione_intervento="x",selezione_monetizzazione_nuova_costr="x",selezione_calcolo_completo="o")</formula>
    </cfRule>
    <cfRule type="expression" dxfId="114" priority="29">
      <formula>AND(selezione_passo_descrizione_intervento="x",selezione_monetizzazione_ampliamento="o",selezione_calcolo_completo="o")</formula>
    </cfRule>
    <cfRule type="expression" dxfId="113" priority="30">
      <formula>AND(selezione_passo_descrizione_intervento="x",selezione_monetizzazione_ampliamento="x",selezione_calcolo_completo="o")</formula>
    </cfRule>
    <cfRule type="expression" dxfId="112" priority="31">
      <formula>AND(selezione_passo_descrizione_intervento="x",selezione_parcheggi_sottotetti="o",selezione_calcolo_completo="o")</formula>
    </cfRule>
    <cfRule type="expression" dxfId="111" priority="32">
      <formula>AND(selezione_passo_descrizione_intervento="x",selezione_parcheggi_sottotetti="x",selezione_calcolo_completo="o")</formula>
    </cfRule>
    <cfRule type="expression" dxfId="110" priority="33">
      <formula>AND(selezione_passo_descrizione_intervento="x",selezione_monetizzazione_sottotetti="o",selezione_calcolo_completo="o")</formula>
    </cfRule>
    <cfRule type="expression" dxfId="109" priority="34">
      <formula>AND(selezione_passo_descrizione_intervento="x",selezione_monetizzazione_sottotetti="x",selezione_calcolo_completo="o")</formula>
    </cfRule>
    <cfRule type="expression" dxfId="108" priority="35">
      <formula>AND(selezione_passo_descrizione_intervento="x",selezione_monetizzazione_cambio_uso="o",selezione_calcolo_completo="o")</formula>
    </cfRule>
    <cfRule type="expression" dxfId="107" priority="36">
      <formula>AND(selezione_passo_descrizione_intervento="x",selezione_monetizzazione_cambio_uso="x",selezione_calcolo_completo="o")</formula>
    </cfRule>
  </conditionalFormatting>
  <conditionalFormatting sqref="F55">
    <cfRule type="expression" dxfId="106" priority="1" stopIfTrue="1">
      <formula>selezione_oneri_ristrutturazione="x"</formula>
    </cfRule>
    <cfRule type="expression" dxfId="105" priority="2">
      <formula>AND(selezione_passo_descrizione_intervento="x",selezione_oneri_nuova_costruzione="o",selezione_calcolo_completo="o")</formula>
    </cfRule>
    <cfRule type="expression" dxfId="104" priority="3">
      <formula>AND(selezione_passo_descrizione_intervento="x",selezione_oneri_nuova_costruzione="x",selezione_calcolo_completo="o")</formula>
    </cfRule>
    <cfRule type="expression" dxfId="103" priority="4">
      <formula>AND(selezione_passo_descrizione_intervento="x",selezione_oneri_ampliamento="o",selezione_calcolo_completo="o")</formula>
    </cfRule>
    <cfRule type="expression" dxfId="102" priority="5">
      <formula>AND(selezione_passo_descrizione_intervento="x",selezione_oneri_ampliamento="x",selezione_calcolo_completo="o")</formula>
    </cfRule>
    <cfRule type="expression" dxfId="101" priority="6">
      <formula>AND(selezione_passo_descrizione_intervento="x",selezione_oneri_costr_standard_ristrutturazione="o",selezione_calcolo_completo="o")</formula>
    </cfRule>
    <cfRule type="expression" dxfId="100" priority="7">
      <formula>AND(selezione_passo_descrizione_intervento="x",selezione_oneri_sottotetti="o",selezione_calcolo_completo="o")</formula>
    </cfRule>
    <cfRule type="expression" dxfId="99" priority="8">
      <formula>AND(selezione_passo_descrizione_intervento="x",selezione_oneri_sottotetti="x",selezione_calcolo_completo="o")</formula>
    </cfRule>
    <cfRule type="expression" dxfId="98" priority="9">
      <formula>AND(selezione_passo_descrizione_intervento="x",selezione_monetizzazione_nuova_costr="o",selezione_calcolo_completo="o")</formula>
    </cfRule>
    <cfRule type="expression" dxfId="97" priority="10">
      <formula>AND(selezione_passo_descrizione_intervento="x",selezione_monetizzazione_nuova_costr="x",selezione_calcolo_completo="o")</formula>
    </cfRule>
    <cfRule type="expression" dxfId="96" priority="11">
      <formula>AND(selezione_passo_descrizione_intervento="x",selezione_monetizzazione_ampliamento="o",selezione_calcolo_completo="o")</formula>
    </cfRule>
    <cfRule type="expression" dxfId="95" priority="12">
      <formula>AND(selezione_passo_descrizione_intervento="x",selezione_monetizzazione_ampliamento="x",selezione_calcolo_completo="o")</formula>
    </cfRule>
    <cfRule type="expression" dxfId="94" priority="13">
      <formula>AND(selezione_passo_descrizione_intervento="x",selezione_parcheggi_sottotetti="o",selezione_calcolo_completo="o")</formula>
    </cfRule>
    <cfRule type="expression" dxfId="93" priority="14">
      <formula>AND(selezione_passo_descrizione_intervento="x",selezione_parcheggi_sottotetti="x",selezione_calcolo_completo="o")</formula>
    </cfRule>
    <cfRule type="expression" dxfId="92" priority="15">
      <formula>AND(selezione_passo_descrizione_intervento="x",selezione_monetizzazione_sottotetti="o",selezione_calcolo_completo="o")</formula>
    </cfRule>
    <cfRule type="expression" dxfId="91" priority="16">
      <formula>AND(selezione_passo_descrizione_intervento="x",selezione_monetizzazione_sottotetti="x",selezione_calcolo_completo="o")</formula>
    </cfRule>
    <cfRule type="expression" dxfId="90" priority="17">
      <formula>AND(selezione_passo_descrizione_intervento="x",selezione_monetizzazione_cambio_uso="o",selezione_calcolo_completo="o")</formula>
    </cfRule>
    <cfRule type="expression" dxfId="89" priority="18">
      <formula>AND(selezione_passo_descrizione_intervento="x",selezione_monetizzazione_cambio_uso="x",selezione_calcolo_completo="o")</formula>
    </cfRule>
  </conditionalFormatting>
  <dataValidations count="5">
    <dataValidation type="list" allowBlank="1" showInputMessage="1" showErrorMessage="1" errorTitle="Zone omogenee" error="Scegliere un valore dalla lista" sqref="G7:G9 G13:G14 D40">
      <formula1>"Sì,No"</formula1>
    </dataValidation>
    <dataValidation type="list" allowBlank="1" showInputMessage="1" showErrorMessage="1" sqref="G82">
      <formula1>ElencoZoneMonetizzazione_Parcheggi</formula1>
    </dataValidation>
    <dataValidation type="list" allowBlank="1" showInputMessage="1" showErrorMessage="1" errorTitle="Zone omogenee" error="Scegliere un valore dalla lista" sqref="G5">
      <formula1>"Si (onerosa),Si (gratuita),No"</formula1>
    </dataValidation>
    <dataValidation type="list" allowBlank="1" showInputMessage="1" showErrorMessage="1" sqref="G3">
      <formula1>ElencoZoneTerritoriali</formula1>
    </dataValidation>
    <dataValidation type="list" allowBlank="1" showInputMessage="1" showErrorMessage="1" sqref="G76">
      <formula1>ElencoZoneMonetizzazione</formula1>
    </dataValidation>
  </dataValidations>
  <hyperlinks>
    <hyperlink ref="I6:I7" location="'Procedura guidata (Office 2007)'!A1" display="Torna alla procedura guidata!"/>
  </hyperlinks>
  <printOptions horizontalCentered="1"/>
  <pageMargins left="0.23622047244094491" right="0.23622047244094491" top="0.35433070866141736" bottom="0.35433070866141736" header="0.31496062992125984" footer="0.31496062992125984"/>
  <pageSetup paperSize="9" scale="73" orientation="portrait" r:id="rId1"/>
  <headerFooter alignWithMargins="0"/>
  <cellWatches>
    <cellWatch r="A2"/>
  </cellWatches>
  <ignoredErrors>
    <ignoredError sqref="E51" 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66"/>
  </sheetPr>
  <dimension ref="A1:AB35"/>
  <sheetViews>
    <sheetView showGridLines="0" showZeros="0" workbookViewId="0"/>
  </sheetViews>
  <sheetFormatPr defaultColWidth="0" defaultRowHeight="0" customHeight="1" zeroHeight="1" x14ac:dyDescent="0.2"/>
  <cols>
    <col min="1" max="1" width="5.7109375" style="346" customWidth="1"/>
    <col min="2" max="2" width="5.7109375" style="347" customWidth="1"/>
    <col min="3" max="5" width="10.7109375" style="347" customWidth="1"/>
    <col min="6" max="6" width="1.42578125" style="347" hidden="1" customWidth="1"/>
    <col min="7" max="7" width="5.42578125" style="347" hidden="1" customWidth="1"/>
    <col min="8" max="8" width="12.42578125" style="347" customWidth="1"/>
    <col min="9" max="9" width="5.7109375" style="347" customWidth="1"/>
    <col min="10" max="10" width="10.7109375" style="347" customWidth="1"/>
    <col min="11" max="11" width="5.7109375" style="347" customWidth="1"/>
    <col min="12" max="12" width="10.7109375" style="347" customWidth="1"/>
    <col min="13" max="13" width="3.7109375" style="347" customWidth="1"/>
    <col min="14" max="14" width="12.7109375" style="347" customWidth="1"/>
    <col min="15" max="16" width="5.7109375" style="347" customWidth="1"/>
    <col min="17" max="17" width="18.7109375" style="347" customWidth="1"/>
    <col min="18" max="18" width="6.28515625" style="347" hidden="1" customWidth="1"/>
    <col min="19" max="19" width="13.42578125" style="347" hidden="1" customWidth="1"/>
    <col min="20" max="20" width="4.42578125" style="347" hidden="1" customWidth="1"/>
    <col min="21" max="21" width="3.7109375" style="347" hidden="1" customWidth="1"/>
    <col min="22" max="22" width="8.42578125" style="347" hidden="1" customWidth="1"/>
    <col min="23" max="23" width="6.7109375" style="347" hidden="1" customWidth="1"/>
    <col min="24" max="24" width="9.42578125" style="347" hidden="1" customWidth="1"/>
    <col min="25" max="25" width="4.7109375" style="347" hidden="1" customWidth="1"/>
    <col min="26" max="26" width="3.5703125" style="347" hidden="1" customWidth="1"/>
    <col min="27" max="27" width="12.42578125" style="347" hidden="1" customWidth="1"/>
    <col min="28" max="28" width="14.28515625" style="347" hidden="1" customWidth="1"/>
    <col min="29" max="16384" width="9.140625" style="347" hidden="1"/>
  </cols>
  <sheetData>
    <row r="1" spans="1:17" ht="10.5" customHeight="1" x14ac:dyDescent="0.2"/>
    <row r="2" spans="1:17" s="353" customFormat="1" ht="12.75" customHeight="1" x14ac:dyDescent="0.2">
      <c r="A2" s="413"/>
      <c r="I2" s="726" t="str">
        <f>IF(DetClasse_Abitanti="Comune con meno di 50.000 abitanti","Parametri_Classi","Parametri_ClassiSopr50000Ab")</f>
        <v>Parametri_Classi</v>
      </c>
      <c r="J2" s="726" t="str">
        <f>IF(DetClasse_Abitanti="Comune con meno di 50.000 abitanti","Parametri_MinClassi","Parametri_MinClassiSopr50000Ab")</f>
        <v>Parametri_MinClassi</v>
      </c>
      <c r="K2" s="348"/>
      <c r="L2" s="348"/>
      <c r="M2" s="348"/>
      <c r="N2" s="348"/>
      <c r="O2" s="348"/>
      <c r="P2" s="348"/>
      <c r="Q2" s="389"/>
    </row>
    <row r="3" spans="1:17" s="353" customFormat="1" ht="12.75" customHeight="1" thickBot="1" x14ac:dyDescent="0.25">
      <c r="A3" s="392"/>
      <c r="B3" s="395" t="s">
        <v>21</v>
      </c>
      <c r="C3" s="396"/>
      <c r="D3" s="392"/>
      <c r="E3" s="392"/>
      <c r="F3" s="397" t="s">
        <v>22</v>
      </c>
      <c r="G3" s="392"/>
      <c r="H3" s="392"/>
      <c r="I3" s="392"/>
      <c r="J3" s="392"/>
      <c r="K3" s="392"/>
      <c r="L3"/>
      <c r="M3"/>
      <c r="N3"/>
      <c r="O3"/>
      <c r="P3"/>
      <c r="Q3" s="392"/>
    </row>
    <row r="4" spans="1:17" ht="12.75" customHeight="1" x14ac:dyDescent="0.25">
      <c r="A4" s="392"/>
      <c r="B4" s="974" t="s">
        <v>23</v>
      </c>
      <c r="C4" s="975"/>
      <c r="D4" s="400" t="s">
        <v>111</v>
      </c>
      <c r="E4" s="400" t="s">
        <v>110</v>
      </c>
      <c r="F4" s="401" t="s">
        <v>24</v>
      </c>
      <c r="G4" s="402"/>
      <c r="H4" s="399" t="s">
        <v>25</v>
      </c>
      <c r="I4" s="400" t="s">
        <v>26</v>
      </c>
      <c r="J4" s="403" t="s">
        <v>27</v>
      </c>
      <c r="K4" s="392"/>
      <c r="L4"/>
      <c r="M4"/>
      <c r="N4"/>
      <c r="O4"/>
      <c r="P4"/>
      <c r="Q4" s="15"/>
    </row>
    <row r="5" spans="1:17" ht="12.75" customHeight="1" x14ac:dyDescent="0.25">
      <c r="A5" s="392"/>
      <c r="B5" s="972" t="s">
        <v>233</v>
      </c>
      <c r="C5" s="973"/>
      <c r="D5" s="628"/>
      <c r="E5" s="630"/>
      <c r="F5" s="406"/>
      <c r="G5" s="407"/>
      <c r="H5" s="408">
        <f>IF(E5&gt;0,E5/$E$10,0)</f>
        <v>0</v>
      </c>
      <c r="I5" s="409" t="s">
        <v>28</v>
      </c>
      <c r="J5" s="410">
        <f>H5*I5</f>
        <v>0</v>
      </c>
      <c r="K5" s="392"/>
      <c r="L5"/>
      <c r="M5"/>
      <c r="N5"/>
      <c r="O5"/>
      <c r="P5"/>
      <c r="Q5" s="16"/>
    </row>
    <row r="6" spans="1:17" s="353" customFormat="1" ht="12.75" customHeight="1" x14ac:dyDescent="0.2">
      <c r="A6" s="392"/>
      <c r="B6" s="972" t="s">
        <v>234</v>
      </c>
      <c r="C6" s="973"/>
      <c r="D6" s="628"/>
      <c r="E6" s="630"/>
      <c r="F6" s="406"/>
      <c r="G6" s="407"/>
      <c r="H6" s="408">
        <f>IF(E6&gt;0,E6/$E$10,0)</f>
        <v>0</v>
      </c>
      <c r="I6" s="411">
        <v>5</v>
      </c>
      <c r="J6" s="410">
        <f>H6*I6</f>
        <v>0</v>
      </c>
      <c r="K6" s="392"/>
      <c r="L6"/>
      <c r="M6"/>
      <c r="N6"/>
      <c r="O6"/>
      <c r="P6"/>
      <c r="Q6" s="325"/>
    </row>
    <row r="7" spans="1:17" s="353" customFormat="1" ht="12.75" customHeight="1" x14ac:dyDescent="0.2">
      <c r="A7" s="392"/>
      <c r="B7" s="972" t="s">
        <v>29</v>
      </c>
      <c r="C7" s="973"/>
      <c r="D7" s="628">
        <v>0</v>
      </c>
      <c r="E7" s="630"/>
      <c r="F7" s="406"/>
      <c r="G7" s="407"/>
      <c r="H7" s="408">
        <f>IF(E7&gt;0,E7/$E$10,0)</f>
        <v>0</v>
      </c>
      <c r="I7" s="411">
        <v>15</v>
      </c>
      <c r="J7" s="410">
        <f>H7*I7</f>
        <v>0</v>
      </c>
      <c r="K7" s="392"/>
      <c r="L7"/>
      <c r="M7"/>
      <c r="N7"/>
      <c r="O7"/>
      <c r="P7" s="54"/>
      <c r="Q7" s="976" t="s">
        <v>293</v>
      </c>
    </row>
    <row r="8" spans="1:17" s="353" customFormat="1" ht="12.75" customHeight="1" x14ac:dyDescent="0.2">
      <c r="A8" s="392"/>
      <c r="B8" s="972" t="s">
        <v>30</v>
      </c>
      <c r="C8" s="973"/>
      <c r="D8" s="628"/>
      <c r="E8" s="630"/>
      <c r="F8" s="406"/>
      <c r="G8" s="407"/>
      <c r="H8" s="408">
        <f>IF(E8&gt;0,E8/$E$10,0)</f>
        <v>0</v>
      </c>
      <c r="I8" s="411">
        <v>30</v>
      </c>
      <c r="J8" s="410">
        <f>H8*I8</f>
        <v>0</v>
      </c>
      <c r="K8" s="392"/>
      <c r="L8"/>
      <c r="M8"/>
      <c r="N8"/>
      <c r="O8"/>
      <c r="P8" s="54"/>
      <c r="Q8" s="976"/>
    </row>
    <row r="9" spans="1:17" s="353" customFormat="1" ht="12.75" customHeight="1" thickBot="1" x14ac:dyDescent="0.25">
      <c r="A9" s="392"/>
      <c r="B9" s="985" t="s">
        <v>31</v>
      </c>
      <c r="C9" s="983"/>
      <c r="D9" s="629"/>
      <c r="E9" s="631"/>
      <c r="F9" s="415"/>
      <c r="G9" s="416"/>
      <c r="H9" s="417">
        <f>IF(E9&gt;0,E9/$E$10,0)</f>
        <v>0</v>
      </c>
      <c r="I9" s="418">
        <v>50</v>
      </c>
      <c r="J9" s="419">
        <f>H9*I9</f>
        <v>0</v>
      </c>
      <c r="K9" s="392"/>
      <c r="L9"/>
      <c r="M9"/>
      <c r="N9"/>
      <c r="O9"/>
      <c r="P9"/>
      <c r="Q9" s="17"/>
    </row>
    <row r="10" spans="1:17" s="353" customFormat="1" ht="12.75" customHeight="1" thickBot="1" x14ac:dyDescent="0.25">
      <c r="A10" s="392"/>
      <c r="B10" s="392"/>
      <c r="C10" s="392"/>
      <c r="D10" s="420" t="s">
        <v>32</v>
      </c>
      <c r="E10" s="421">
        <f>SUM(E5:E9)</f>
        <v>0</v>
      </c>
      <c r="F10" s="422"/>
      <c r="G10" s="423"/>
      <c r="H10" s="392" t="s">
        <v>33</v>
      </c>
      <c r="I10" s="392"/>
      <c r="J10" s="424" t="s">
        <v>34</v>
      </c>
      <c r="K10" s="425" t="str">
        <f>IF(SUM(J5:J9)&gt;0,SUM(J5:J9),"0")</f>
        <v>0</v>
      </c>
      <c r="L10"/>
      <c r="M10"/>
      <c r="N10"/>
      <c r="O10"/>
      <c r="P10"/>
    </row>
    <row r="11" spans="1:17" s="353" customFormat="1" ht="12.75" customHeight="1" x14ac:dyDescent="0.2">
      <c r="A11" s="392"/>
      <c r="B11" s="392"/>
      <c r="C11" s="392"/>
      <c r="D11" s="392"/>
      <c r="E11" s="426"/>
      <c r="F11" s="427"/>
      <c r="G11" s="427"/>
      <c r="H11" s="392"/>
      <c r="I11" s="392"/>
      <c r="J11" s="392"/>
      <c r="K11" s="392"/>
      <c r="L11"/>
      <c r="M11"/>
      <c r="N11"/>
      <c r="O11"/>
      <c r="P11"/>
    </row>
    <row r="12" spans="1:17" s="353" customFormat="1" ht="12.75" customHeight="1" thickBot="1" x14ac:dyDescent="0.25">
      <c r="A12" s="392"/>
      <c r="B12" s="395" t="s">
        <v>144</v>
      </c>
      <c r="C12" s="396"/>
      <c r="D12" s="392"/>
      <c r="E12" s="426"/>
      <c r="F12" s="428"/>
      <c r="G12" s="427"/>
      <c r="H12" s="396"/>
      <c r="I12" s="392"/>
      <c r="J12" s="392"/>
      <c r="K12" s="404"/>
      <c r="L12"/>
      <c r="M12"/>
      <c r="N12"/>
      <c r="O12"/>
      <c r="P12"/>
    </row>
    <row r="13" spans="1:17" s="353" customFormat="1" ht="12.75" customHeight="1" x14ac:dyDescent="0.2">
      <c r="A13" s="392"/>
      <c r="B13" s="974" t="s">
        <v>237</v>
      </c>
      <c r="C13" s="992"/>
      <c r="D13" s="975"/>
      <c r="E13" s="431" t="s">
        <v>235</v>
      </c>
      <c r="F13" s="432"/>
      <c r="G13" s="433"/>
      <c r="H13" s="400" t="s">
        <v>38</v>
      </c>
      <c r="I13" s="400" t="s">
        <v>18</v>
      </c>
      <c r="J13" s="403" t="s">
        <v>27</v>
      </c>
      <c r="K13" s="348"/>
      <c r="L13"/>
      <c r="M13"/>
      <c r="N13"/>
      <c r="O13"/>
      <c r="P13"/>
      <c r="Q13" s="405"/>
    </row>
    <row r="14" spans="1:17" s="353" customFormat="1" ht="12.75" customHeight="1" x14ac:dyDescent="0.2">
      <c r="A14" s="392"/>
      <c r="B14" s="986" t="s">
        <v>231</v>
      </c>
      <c r="C14" s="987"/>
      <c r="D14" s="988"/>
      <c r="E14" s="1002"/>
      <c r="F14" s="434">
        <v>0</v>
      </c>
      <c r="G14" s="435"/>
      <c r="H14" s="436" t="s">
        <v>112</v>
      </c>
      <c r="I14" s="437" t="str">
        <f>IF($H$19&lt;=50,"X",)</f>
        <v>X</v>
      </c>
      <c r="J14" s="438" t="s">
        <v>159</v>
      </c>
      <c r="K14" s="348"/>
      <c r="L14"/>
      <c r="M14"/>
      <c r="N14"/>
      <c r="O14"/>
      <c r="P14"/>
      <c r="Q14" s="405"/>
    </row>
    <row r="15" spans="1:17" s="353" customFormat="1" ht="12.75" customHeight="1" x14ac:dyDescent="0.2">
      <c r="A15" s="392"/>
      <c r="B15" s="989"/>
      <c r="C15" s="990"/>
      <c r="D15" s="991"/>
      <c r="E15" s="1003"/>
      <c r="F15" s="442"/>
      <c r="G15" s="435"/>
      <c r="H15" s="436" t="s">
        <v>40</v>
      </c>
      <c r="I15" s="437">
        <f>IF(AND($H$19&lt;=75,$H$19&gt;50.001),"X",)</f>
        <v>0</v>
      </c>
      <c r="J15" s="443">
        <v>10</v>
      </c>
      <c r="K15" s="348"/>
      <c r="L15"/>
      <c r="M15"/>
      <c r="N15"/>
      <c r="O15"/>
      <c r="P15"/>
      <c r="Q15" s="445"/>
    </row>
    <row r="16" spans="1:17" s="353" customFormat="1" ht="12.75" customHeight="1" x14ac:dyDescent="0.2">
      <c r="A16" s="392"/>
      <c r="B16" s="972" t="s">
        <v>42</v>
      </c>
      <c r="C16" s="981"/>
      <c r="D16" s="973"/>
      <c r="E16" s="446">
        <v>0</v>
      </c>
      <c r="F16" s="442">
        <v>0</v>
      </c>
      <c r="G16" s="435"/>
      <c r="H16" s="436" t="s">
        <v>43</v>
      </c>
      <c r="I16" s="437">
        <f>IF(AND($H$19&lt;=100,$H$19&gt;75.1),"X",)</f>
        <v>0</v>
      </c>
      <c r="J16" s="443">
        <v>20</v>
      </c>
      <c r="K16" s="348"/>
      <c r="L16"/>
      <c r="M16"/>
      <c r="N16"/>
      <c r="O16"/>
      <c r="P16"/>
      <c r="Q16" s="450"/>
    </row>
    <row r="17" spans="1:17" s="353" customFormat="1" ht="12.75" customHeight="1" thickBot="1" x14ac:dyDescent="0.25">
      <c r="A17" s="392"/>
      <c r="B17" s="972" t="s">
        <v>45</v>
      </c>
      <c r="C17" s="981"/>
      <c r="D17" s="973"/>
      <c r="E17" s="632"/>
      <c r="F17" s="442">
        <v>0</v>
      </c>
      <c r="G17" s="435"/>
      <c r="H17" s="451" t="s">
        <v>46</v>
      </c>
      <c r="I17" s="452">
        <f>IF($H$19&gt;100.001,"X",)</f>
        <v>0</v>
      </c>
      <c r="J17" s="453">
        <v>30</v>
      </c>
      <c r="K17" s="344"/>
      <c r="L17"/>
      <c r="M17"/>
      <c r="N17"/>
      <c r="O17"/>
      <c r="P17"/>
      <c r="Q17" s="450"/>
    </row>
    <row r="18" spans="1:17" s="353" customFormat="1" ht="12.75" customHeight="1" thickBot="1" x14ac:dyDescent="0.25">
      <c r="A18" s="392"/>
      <c r="B18" s="985" t="s">
        <v>48</v>
      </c>
      <c r="C18" s="982"/>
      <c r="D18" s="983"/>
      <c r="E18" s="633"/>
      <c r="F18" s="454">
        <v>0</v>
      </c>
      <c r="G18" s="455"/>
      <c r="H18" s="344" t="s">
        <v>49</v>
      </c>
      <c r="I18" s="344"/>
      <c r="J18" s="456" t="s">
        <v>50</v>
      </c>
      <c r="K18" s="457" t="str">
        <f>VLOOKUP("X",$I$14:$J$17,2,FALSE)</f>
        <v>-</v>
      </c>
      <c r="L18"/>
      <c r="M18"/>
      <c r="N18"/>
      <c r="O18"/>
      <c r="P18"/>
      <c r="Q18" s="445"/>
    </row>
    <row r="19" spans="1:17" s="353" customFormat="1" ht="12.75" customHeight="1" thickBot="1" x14ac:dyDescent="0.25">
      <c r="A19" s="392"/>
      <c r="B19" s="344"/>
      <c r="C19" s="344"/>
      <c r="D19" s="458" t="s">
        <v>52</v>
      </c>
      <c r="E19" s="421">
        <f>SUM(E14:E18)</f>
        <v>0</v>
      </c>
      <c r="F19" s="459">
        <f>SUM(F14:F18)</f>
        <v>0</v>
      </c>
      <c r="G19" s="460"/>
      <c r="H19" s="461">
        <f>IF(ISERROR(E19/E10*100),,(E19/E10*100))</f>
        <v>0</v>
      </c>
      <c r="I19" s="344" t="s">
        <v>20</v>
      </c>
      <c r="J19" s="344"/>
      <c r="K19" s="344"/>
      <c r="L19"/>
      <c r="M19"/>
      <c r="N19"/>
      <c r="O19"/>
      <c r="P19"/>
      <c r="Q19" s="414"/>
    </row>
    <row r="20" spans="1:17" s="346" customFormat="1" ht="12.75" customHeight="1" x14ac:dyDescent="0.2">
      <c r="A20" s="392"/>
      <c r="B20" s="392"/>
      <c r="C20" s="392"/>
      <c r="D20" s="392"/>
      <c r="E20" s="392"/>
      <c r="F20" s="392"/>
      <c r="G20" s="392"/>
      <c r="H20" s="392"/>
      <c r="I20" s="392"/>
      <c r="J20" s="392"/>
      <c r="K20" s="392"/>
      <c r="L20" s="392"/>
      <c r="M20" s="392"/>
      <c r="N20" s="392"/>
      <c r="O20" s="392"/>
      <c r="P20" s="392"/>
      <c r="Q20" s="414"/>
    </row>
    <row r="21" spans="1:17" s="346" customFormat="1" ht="12.75" customHeight="1" thickBot="1" x14ac:dyDescent="0.25">
      <c r="A21" s="392"/>
      <c r="C21" s="343"/>
      <c r="D21" s="343"/>
      <c r="E21" s="343"/>
      <c r="F21" s="465"/>
      <c r="G21" s="344"/>
      <c r="H21" s="466"/>
      <c r="I21" s="344"/>
      <c r="J21" s="344"/>
      <c r="K21" s="344"/>
      <c r="L21" s="344"/>
      <c r="M21" s="344"/>
      <c r="N21" s="344"/>
      <c r="O21" s="344"/>
      <c r="P21" s="392"/>
      <c r="Q21" s="414"/>
    </row>
    <row r="22" spans="1:17" s="346" customFormat="1" ht="12.75" customHeight="1" x14ac:dyDescent="0.2">
      <c r="A22" s="392"/>
      <c r="B22" s="467" t="s">
        <v>238</v>
      </c>
      <c r="C22" s="348"/>
      <c r="D22" s="348"/>
      <c r="E22" s="344"/>
      <c r="F22" s="369"/>
      <c r="G22" s="345"/>
      <c r="H22" s="398" t="s">
        <v>56</v>
      </c>
      <c r="I22" s="400" t="s">
        <v>18</v>
      </c>
      <c r="J22" s="403" t="s">
        <v>27</v>
      </c>
      <c r="K22" s="348"/>
      <c r="L22" s="466"/>
      <c r="M22" s="466"/>
      <c r="O22" s="466"/>
    </row>
    <row r="23" spans="1:17" s="346" customFormat="1" ht="12.75" customHeight="1" thickBot="1" x14ac:dyDescent="0.25">
      <c r="A23" s="392"/>
      <c r="B23" s="348"/>
      <c r="C23" s="984"/>
      <c r="D23" s="984"/>
      <c r="E23" s="984"/>
      <c r="F23" s="468"/>
      <c r="G23" s="469"/>
      <c r="H23" s="470" t="s">
        <v>57</v>
      </c>
      <c r="I23" s="471" t="str">
        <f>IF(COUNTIF($B$24:$B$28,"x")=0,"X",)</f>
        <v>X</v>
      </c>
      <c r="J23" s="472" t="s">
        <v>159</v>
      </c>
      <c r="K23" s="348"/>
      <c r="L23" s="466"/>
      <c r="M23" s="466"/>
      <c r="N23" s="466"/>
      <c r="O23" s="466"/>
    </row>
    <row r="24" spans="1:17" s="392" customFormat="1" ht="12.75" customHeight="1" x14ac:dyDescent="0.2">
      <c r="B24" s="634" t="s">
        <v>59</v>
      </c>
      <c r="C24" s="1000" t="s">
        <v>60</v>
      </c>
      <c r="D24" s="1000"/>
      <c r="E24" s="1000"/>
      <c r="F24" s="473"/>
      <c r="G24" s="344"/>
      <c r="H24" s="436">
        <v>1</v>
      </c>
      <c r="I24" s="471">
        <f>IF(COUNTIF($B$24:$B$28,"x")=1,"X",)</f>
        <v>0</v>
      </c>
      <c r="J24" s="443">
        <v>10</v>
      </c>
      <c r="K24" s="348"/>
      <c r="L24" s="344"/>
      <c r="M24" s="344"/>
      <c r="N24" s="344"/>
      <c r="O24" s="344"/>
    </row>
    <row r="25" spans="1:17" s="392" customFormat="1" ht="12.75" customHeight="1" x14ac:dyDescent="0.2">
      <c r="B25" s="635" t="s">
        <v>59</v>
      </c>
      <c r="C25" s="981" t="s">
        <v>61</v>
      </c>
      <c r="D25" s="981"/>
      <c r="E25" s="981"/>
      <c r="F25" s="474"/>
      <c r="G25" s="344"/>
      <c r="H25" s="436">
        <v>2</v>
      </c>
      <c r="I25" s="471">
        <f>IF(COUNTIF($B$24:$B$28,"x")=2,"X",)</f>
        <v>0</v>
      </c>
      <c r="J25" s="443">
        <v>20</v>
      </c>
      <c r="K25" s="348"/>
      <c r="L25" s="344"/>
      <c r="M25" s="344"/>
      <c r="N25" s="344"/>
      <c r="O25" s="344"/>
    </row>
    <row r="26" spans="1:17" s="392" customFormat="1" ht="12.75" customHeight="1" x14ac:dyDescent="0.2">
      <c r="B26" s="635" t="s">
        <v>59</v>
      </c>
      <c r="C26" s="997" t="s">
        <v>62</v>
      </c>
      <c r="D26" s="997"/>
      <c r="E26" s="997"/>
      <c r="F26" s="475"/>
      <c r="G26" s="344"/>
      <c r="H26" s="436">
        <v>3</v>
      </c>
      <c r="I26" s="471">
        <f>IF(COUNTIF($B$24:$B$28,"x")=3,"X",)</f>
        <v>0</v>
      </c>
      <c r="J26" s="443">
        <v>30</v>
      </c>
      <c r="K26" s="344"/>
      <c r="L26" s="344"/>
      <c r="M26" s="344"/>
      <c r="N26" s="344"/>
      <c r="O26" s="344"/>
    </row>
    <row r="27" spans="1:17" s="392" customFormat="1" ht="12.75" customHeight="1" x14ac:dyDescent="0.2">
      <c r="B27" s="635" t="s">
        <v>59</v>
      </c>
      <c r="C27" s="981" t="s">
        <v>63</v>
      </c>
      <c r="D27" s="981"/>
      <c r="E27" s="981"/>
      <c r="F27" s="474"/>
      <c r="G27" s="344"/>
      <c r="H27" s="436">
        <v>4</v>
      </c>
      <c r="I27" s="471">
        <f>IF(COUNTIF($B$24:$B$28,"x")=4,"X",)</f>
        <v>0</v>
      </c>
      <c r="J27" s="443">
        <v>40</v>
      </c>
      <c r="K27" s="344"/>
      <c r="L27" s="344"/>
      <c r="M27" s="344"/>
      <c r="N27" s="344"/>
      <c r="O27" s="344"/>
    </row>
    <row r="28" spans="1:17" s="392" customFormat="1" ht="12.75" customHeight="1" thickBot="1" x14ac:dyDescent="0.25">
      <c r="B28" s="636" t="s">
        <v>59</v>
      </c>
      <c r="C28" s="982" t="s">
        <v>64</v>
      </c>
      <c r="D28" s="982"/>
      <c r="E28" s="983"/>
      <c r="F28" s="476"/>
      <c r="G28" s="344"/>
      <c r="H28" s="451">
        <v>5</v>
      </c>
      <c r="I28" s="477">
        <f>IF(COUNTIF($B$24:$B$28,"x")=5,"X",)</f>
        <v>0</v>
      </c>
      <c r="J28" s="453">
        <v>50</v>
      </c>
      <c r="K28" s="344"/>
      <c r="L28" s="344"/>
      <c r="M28" s="344"/>
      <c r="N28" s="344"/>
      <c r="O28" s="344"/>
    </row>
    <row r="29" spans="1:17" s="392" customFormat="1" ht="12.75" customHeight="1" thickBot="1" x14ac:dyDescent="0.25">
      <c r="B29" s="343"/>
      <c r="C29" s="343"/>
      <c r="D29" s="343"/>
      <c r="E29" s="343"/>
      <c r="F29" s="478"/>
      <c r="G29" s="367"/>
      <c r="H29" s="344"/>
      <c r="I29" s="344"/>
      <c r="J29" s="456" t="s">
        <v>65</v>
      </c>
      <c r="K29" s="479" t="str">
        <f>VLOOKUP("X",I23:J28,2,FALSE)</f>
        <v>-</v>
      </c>
      <c r="L29" s="480"/>
      <c r="M29" s="344"/>
      <c r="N29" s="344"/>
      <c r="O29" s="344"/>
      <c r="P29" s="404"/>
      <c r="Q29" s="450"/>
    </row>
    <row r="30" spans="1:17" s="392" customFormat="1" ht="12.75" customHeight="1" thickBot="1" x14ac:dyDescent="0.25">
      <c r="B30" s="343"/>
      <c r="C30" s="343"/>
      <c r="D30" s="343"/>
      <c r="E30" s="343"/>
      <c r="F30" s="481"/>
      <c r="G30" s="367"/>
      <c r="H30" s="344"/>
      <c r="I30" s="344"/>
      <c r="J30" s="344"/>
      <c r="K30" s="374" t="s">
        <v>2</v>
      </c>
      <c r="L30" s="456" t="s">
        <v>67</v>
      </c>
      <c r="M30" s="1001" t="s">
        <v>236</v>
      </c>
      <c r="N30" s="1001"/>
      <c r="O30" s="1001"/>
      <c r="P30" s="404"/>
      <c r="Q30" s="445"/>
    </row>
    <row r="31" spans="1:17" s="392" customFormat="1" ht="12.75" customHeight="1" thickBot="1" x14ac:dyDescent="0.25">
      <c r="B31" s="343"/>
      <c r="C31" s="343"/>
      <c r="D31" s="343"/>
      <c r="E31" s="343"/>
      <c r="F31" s="482"/>
      <c r="G31" s="367"/>
      <c r="H31" s="344"/>
      <c r="I31" s="998" t="s">
        <v>68</v>
      </c>
      <c r="J31" s="999"/>
      <c r="K31" s="483">
        <f>SUM(K10,K18,K29)</f>
        <v>0</v>
      </c>
      <c r="L31" s="995" t="str">
        <f ca="1">IF(DetCL_DettContCostoCost_SommaIncrementi=0,"I",IF(ISERROR(MATCH(DetCL_DettContCostoCost_SommaIncrementi,INDIRECT(DetClasse_NomeMatriceMinClassi),1))=TRUE,INDEX(INDIRECT(DetClasse_NomeMatrice),1,1),INDEX(INDIRECT(DetClasse_NomeMatrice),MATCH(DetCL_DettContCostoCost_SommaIncrementi,INDIRECT(DetClasse_NomeMatriceMinClassi),1),1)))</f>
        <v>I</v>
      </c>
      <c r="M31" s="996"/>
      <c r="N31" s="993">
        <f ca="1">IF(DetCL_DettContCostoCost_SommaIncrementi=0,0,IF(ISERROR(MATCH(DetCL_DettContCostoCost_SommaIncrementi,INDIRECT(DetClasse_NomeMatriceMinClassi),1))=TRUE,INDEX(INDIRECT(DetClasse_NomeMatrice),1,4),INDEX(INDIRECT(DetClasse_NomeMatrice),MATCH(DetCL_DettContCostoCost_SommaIncrementi,INDIRECT(DetClasse_NomeMatriceMinClassi),1),4)))</f>
        <v>0</v>
      </c>
      <c r="O31" s="994"/>
      <c r="P31" s="404"/>
      <c r="Q31" s="445"/>
    </row>
    <row r="32" spans="1:17" s="392" customFormat="1" ht="12.75" customHeight="1" thickBot="1" x14ac:dyDescent="0.25">
      <c r="B32" s="343"/>
      <c r="C32" s="343"/>
      <c r="D32" s="343"/>
      <c r="E32" s="343"/>
      <c r="F32" s="484"/>
      <c r="G32" s="367"/>
      <c r="H32" s="366"/>
      <c r="I32" s="366"/>
      <c r="J32" s="367"/>
      <c r="K32" s="344"/>
      <c r="L32" s="344"/>
      <c r="M32" s="344"/>
      <c r="N32" s="371"/>
      <c r="O32" s="372"/>
    </row>
    <row r="33" spans="2:17" s="353" customFormat="1" ht="12.75" customHeight="1" thickBot="1" x14ac:dyDescent="0.25">
      <c r="B33" s="491" t="s">
        <v>274</v>
      </c>
      <c r="C33" s="486"/>
      <c r="D33" s="486"/>
      <c r="E33" s="486"/>
      <c r="F33" s="487"/>
      <c r="G33" s="367"/>
      <c r="H33" s="366"/>
      <c r="I33" s="366"/>
      <c r="J33" s="367"/>
      <c r="K33" s="488"/>
      <c r="L33" s="488"/>
      <c r="M33" s="489"/>
      <c r="N33" s="977">
        <f>CostoBase</f>
        <v>403.83</v>
      </c>
      <c r="O33" s="978"/>
      <c r="P33" s="392"/>
      <c r="Q33" s="392"/>
    </row>
    <row r="34" spans="2:17" s="353" customFormat="1" ht="12.75" customHeight="1" thickBot="1" x14ac:dyDescent="0.25">
      <c r="B34" s="485" t="s">
        <v>275</v>
      </c>
      <c r="C34" s="486"/>
      <c r="D34" s="486"/>
      <c r="E34" s="486"/>
      <c r="F34" s="487"/>
      <c r="G34" s="367"/>
      <c r="H34" s="366"/>
      <c r="I34" s="366"/>
      <c r="J34" s="367"/>
      <c r="K34" s="490"/>
      <c r="L34" s="490"/>
      <c r="M34" s="489"/>
      <c r="N34" s="979">
        <f ca="1">CostoBase*(1+DetClasse_Maggiorazione/100)</f>
        <v>403.83</v>
      </c>
      <c r="O34" s="980"/>
      <c r="P34" s="392"/>
      <c r="Q34" s="392"/>
    </row>
    <row r="35" spans="2:17" ht="12.75" customHeight="1" x14ac:dyDescent="0.2">
      <c r="B35" s="346"/>
      <c r="C35" s="346"/>
      <c r="D35" s="346"/>
      <c r="E35" s="346"/>
      <c r="F35" s="346"/>
      <c r="G35" s="346"/>
      <c r="H35" s="346"/>
      <c r="I35" s="346"/>
      <c r="J35" s="346"/>
      <c r="K35" s="346"/>
      <c r="L35" s="346"/>
      <c r="M35" s="346"/>
      <c r="N35" s="346"/>
      <c r="O35" s="346"/>
      <c r="P35" s="346"/>
      <c r="Q35" s="346"/>
    </row>
  </sheetData>
  <sheetProtection password="83CC" sheet="1" objects="1" scenarios="1" formatColumns="0" formatRows="0" insertRows="0"/>
  <mergeCells count="25">
    <mergeCell ref="B9:C9"/>
    <mergeCell ref="B14:D15"/>
    <mergeCell ref="B6:C6"/>
    <mergeCell ref="B13:D13"/>
    <mergeCell ref="N31:O31"/>
    <mergeCell ref="L31:M31"/>
    <mergeCell ref="B16:D16"/>
    <mergeCell ref="C25:E25"/>
    <mergeCell ref="C26:E26"/>
    <mergeCell ref="I31:J31"/>
    <mergeCell ref="B17:D17"/>
    <mergeCell ref="B18:D18"/>
    <mergeCell ref="C24:E24"/>
    <mergeCell ref="M30:O30"/>
    <mergeCell ref="E14:E15"/>
    <mergeCell ref="N33:O33"/>
    <mergeCell ref="N34:O34"/>
    <mergeCell ref="C27:E27"/>
    <mergeCell ref="C28:E28"/>
    <mergeCell ref="C23:E23"/>
    <mergeCell ref="B5:C5"/>
    <mergeCell ref="B4:C4"/>
    <mergeCell ref="Q7:Q8"/>
    <mergeCell ref="B7:C7"/>
    <mergeCell ref="B8:C8"/>
  </mergeCells>
  <conditionalFormatting sqref="D5:E9 E14:E15 E17:E18 B24:B28">
    <cfRule type="expression" dxfId="88" priority="11" stopIfTrue="1">
      <formula>AND(selezione_passo_descrizione_intervento="x",selezione_sottotetti="x",selezione_costo_costr_standard_sottotetti="x")</formula>
    </cfRule>
    <cfRule type="expression" dxfId="87" priority="12" stopIfTrue="1">
      <formula>AND(selezione_passo_descrizione_intervento="x",selezione_ristrutturazione="x",selezione_costo_costr_standard_ristrutturazione="x")</formula>
    </cfRule>
    <cfRule type="expression" dxfId="86" priority="13" stopIfTrue="1">
      <formula>AND(selezione_passo_descrizione_intervento="x",selezione_ampliamento="x",selezione_costo_costr_standard_ampliamento="x")</formula>
    </cfRule>
    <cfRule type="expression" dxfId="85" priority="14" stopIfTrue="1">
      <formula>AND(selezione_passo_descrizione_intervento="x",selezione_nuova_costruzione="x",selezione_costo_costr_standard_nuova_costruzione="x")</formula>
    </cfRule>
    <cfRule type="expression" dxfId="84" priority="15">
      <formula>AND(selezione_passo_descrizione_intervento="x",selezione_cambio_uso="o",selezione_calcolo_completo="o")</formula>
    </cfRule>
    <cfRule type="expression" dxfId="83" priority="16">
      <formula>AND(selezione_passo_descrizione_intervento="x",selezione_cambio_uso="o",selezione_calcolo_completo="o")</formula>
    </cfRule>
    <cfRule type="expression" dxfId="82" priority="17">
      <formula>AND(selezione_passo_descrizione_intervento="x",selezione_cambio_uso="x",selezione_calcolo_completo="o")</formula>
    </cfRule>
    <cfRule type="expression" dxfId="81" priority="18">
      <formula>AND(selezione_passo_descrizione_intervento="x",selezione_sottotetti="o",selezione_calcolo_completo="o")</formula>
    </cfRule>
    <cfRule type="expression" dxfId="80" priority="19">
      <formula>AND(selezione_passo_descrizione_intervento="x",selezione_sottotetti="x",selezione_costo_costr_standard_sottotetti="o",selezione_calcolo_completo="o")</formula>
    </cfRule>
    <cfRule type="expression" dxfId="79" priority="20">
      <formula>AND(selezione_passo_descrizione_intervento="x",selezione_ristrutturazione="x",selezione_costo_costr_standard_ristrutturazione="o",selezione_calcolo_completo="o")</formula>
    </cfRule>
    <cfRule type="expression" dxfId="78" priority="21">
      <formula>AND(selezione_passo_descrizione_intervento="x",selezione_ristrutturazione="o",selezione_calcolo_completo="o")</formula>
    </cfRule>
    <cfRule type="expression" dxfId="77" priority="22">
      <formula>AND(selezione_passo_descrizione_intervento="x",selezione_ampliamento="o",selezione_calcolo_completo="o")</formula>
    </cfRule>
    <cfRule type="expression" dxfId="76" priority="23">
      <formula>AND(selezione_passo_descrizione_intervento="x",selezione_ampliamento="x",selezione_costo_costr_standard_ampliamento="o",selezione_calcolo_completo="o")</formula>
    </cfRule>
    <cfRule type="expression" dxfId="75" priority="24">
      <formula>AND(selezione_passo_descrizione_intervento="x",selezione_nuova_costruzione="o",selezione_calcolo_completo="o")</formula>
    </cfRule>
    <cfRule type="expression" dxfId="74" priority="25">
      <formula>AND(selezione_passo_descrizione_intervento="x",selezione_nuova_costruzione="x",selezione_costo_costr_standard_nuova_costruzione="o",selezione_calcolo_completo="o")</formula>
    </cfRule>
  </conditionalFormatting>
  <dataValidations disablePrompts="1" count="1">
    <dataValidation type="list" allowBlank="1" showInputMessage="1" showErrorMessage="1" sqref="B24:B28">
      <formula1>opzioni</formula1>
    </dataValidation>
  </dataValidations>
  <hyperlinks>
    <hyperlink ref="Q7:Q8" location="'Procedura guidata (Office 2007)'!A1" display="Torna alla procedura guidata!"/>
  </hyperlinks>
  <printOptions horizontalCentered="1"/>
  <pageMargins left="0.15748031496062992" right="0.15748031496062992" top="0.27559055118110237" bottom="0.27559055118110237" header="0.27559055118110237" footer="0.51181102362204722"/>
  <pageSetup paperSize="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66"/>
    <pageSetUpPr fitToPage="1"/>
  </sheetPr>
  <dimension ref="A1:IU84"/>
  <sheetViews>
    <sheetView showGridLines="0" workbookViewId="0"/>
  </sheetViews>
  <sheetFormatPr defaultColWidth="0" defaultRowHeight="0" customHeight="1" zeroHeight="1" x14ac:dyDescent="0.2"/>
  <cols>
    <col min="1" max="1" width="5.7109375" style="347" customWidth="1"/>
    <col min="2" max="2" width="21" style="347" customWidth="1"/>
    <col min="3" max="4" width="9.7109375" style="347" customWidth="1"/>
    <col min="5" max="5" width="9.7109375" style="346" customWidth="1"/>
    <col min="6" max="6" width="12.7109375" style="347" customWidth="1"/>
    <col min="7" max="7" width="1.42578125" style="347" hidden="1" customWidth="1"/>
    <col min="8" max="8" width="5.42578125" style="347" hidden="1" customWidth="1"/>
    <col min="9" max="9" width="1.7109375" style="347" customWidth="1"/>
    <col min="10" max="12" width="9.7109375" style="347" customWidth="1"/>
    <col min="13" max="13" width="12.7109375" style="347" customWidth="1"/>
    <col min="14" max="14" width="1.5703125" style="347" customWidth="1"/>
    <col min="15" max="17" width="9.7109375" style="347" customWidth="1"/>
    <col min="18" max="18" width="12.7109375" style="347" customWidth="1"/>
    <col min="19" max="19" width="18.7109375" style="347" customWidth="1"/>
    <col min="20" max="20" width="6.7109375" style="347" hidden="1" customWidth="1"/>
    <col min="21" max="21" width="4.42578125" style="347" hidden="1" customWidth="1"/>
    <col min="22" max="22" width="3.7109375" style="347" hidden="1" customWidth="1"/>
    <col min="23" max="23" width="8.42578125" style="347" hidden="1" customWidth="1"/>
    <col min="24" max="24" width="6.7109375" style="347" hidden="1" customWidth="1"/>
    <col min="25" max="25" width="9.42578125" style="347" hidden="1" customWidth="1"/>
    <col min="26" max="26" width="4.7109375" style="347" hidden="1" customWidth="1"/>
    <col min="27" max="27" width="3.5703125" style="347" hidden="1" customWidth="1"/>
    <col min="28" max="28" width="12.42578125" style="347" hidden="1" customWidth="1"/>
    <col min="29" max="29" width="14.28515625" style="347" hidden="1" customWidth="1"/>
    <col min="30" max="255" width="9.140625" style="347" hidden="1" customWidth="1"/>
    <col min="256" max="16384" width="0.140625" style="347" hidden="1"/>
  </cols>
  <sheetData>
    <row r="1" spans="2:19" ht="12.75" customHeight="1" x14ac:dyDescent="0.2">
      <c r="B1" s="343"/>
      <c r="C1" s="343"/>
      <c r="D1" s="343"/>
      <c r="E1" s="343"/>
      <c r="F1" s="343"/>
      <c r="G1" s="343"/>
      <c r="H1" s="343"/>
      <c r="I1" s="343"/>
      <c r="J1" s="343"/>
      <c r="K1" s="343"/>
      <c r="L1" s="343"/>
      <c r="M1" s="343"/>
      <c r="N1" s="344"/>
      <c r="O1" s="344"/>
      <c r="P1" s="344"/>
      <c r="Q1" s="344"/>
      <c r="R1" s="345"/>
      <c r="S1" s="346"/>
    </row>
    <row r="2" spans="2:19" ht="12.75" customHeight="1" thickBot="1" x14ac:dyDescent="0.25">
      <c r="B2" s="343"/>
      <c r="C2" s="1023" t="s">
        <v>166</v>
      </c>
      <c r="D2" s="1023"/>
      <c r="E2" s="1023"/>
      <c r="F2" s="1023"/>
      <c r="G2" s="343"/>
      <c r="H2" s="343"/>
      <c r="I2" s="343"/>
      <c r="J2" s="1023" t="s">
        <v>165</v>
      </c>
      <c r="K2" s="1023"/>
      <c r="L2" s="1023"/>
      <c r="M2" s="1023"/>
      <c r="N2" s="348"/>
      <c r="O2" s="1023" t="s">
        <v>126</v>
      </c>
      <c r="P2" s="1023"/>
      <c r="Q2" s="1023"/>
      <c r="R2" s="1023"/>
      <c r="S2" s="346"/>
    </row>
    <row r="3" spans="2:19" ht="12.75" customHeight="1" x14ac:dyDescent="0.2">
      <c r="B3" s="349"/>
      <c r="C3" s="1020" t="s">
        <v>55</v>
      </c>
      <c r="D3" s="1021"/>
      <c r="E3" s="1021"/>
      <c r="F3" s="1022"/>
      <c r="G3" s="349"/>
      <c r="H3" s="349"/>
      <c r="I3" s="349"/>
      <c r="J3" s="1020" t="s">
        <v>55</v>
      </c>
      <c r="K3" s="1021"/>
      <c r="L3" s="1021"/>
      <c r="M3" s="1022"/>
      <c r="N3" s="350"/>
      <c r="O3" s="1020" t="s">
        <v>55</v>
      </c>
      <c r="P3" s="1021"/>
      <c r="Q3" s="1021"/>
      <c r="R3" s="1022"/>
      <c r="S3" s="392"/>
    </row>
    <row r="4" spans="2:19" s="353" customFormat="1" ht="12.75" customHeight="1" x14ac:dyDescent="0.25">
      <c r="B4" s="349"/>
      <c r="C4" s="972" t="s">
        <v>113</v>
      </c>
      <c r="D4" s="981"/>
      <c r="E4" s="973"/>
      <c r="F4" s="637">
        <v>0</v>
      </c>
      <c r="G4" s="349"/>
      <c r="H4" s="349"/>
      <c r="I4" s="349"/>
      <c r="J4" s="972" t="s">
        <v>113</v>
      </c>
      <c r="K4" s="981"/>
      <c r="L4" s="973"/>
      <c r="M4" s="637">
        <v>0</v>
      </c>
      <c r="N4" s="352"/>
      <c r="O4" s="972" t="s">
        <v>113</v>
      </c>
      <c r="P4" s="981"/>
      <c r="Q4" s="973"/>
      <c r="R4" s="637">
        <v>0</v>
      </c>
      <c r="S4" s="15"/>
    </row>
    <row r="5" spans="2:19" s="353" customFormat="1" ht="12.75" customHeight="1" x14ac:dyDescent="0.25">
      <c r="B5" s="349"/>
      <c r="C5" s="972" t="s">
        <v>114</v>
      </c>
      <c r="D5" s="981"/>
      <c r="E5" s="973"/>
      <c r="F5" s="637">
        <v>0</v>
      </c>
      <c r="G5" s="349"/>
      <c r="H5" s="349"/>
      <c r="I5" s="349"/>
      <c r="J5" s="972" t="s">
        <v>114</v>
      </c>
      <c r="K5" s="981"/>
      <c r="L5" s="973"/>
      <c r="M5" s="637">
        <v>0</v>
      </c>
      <c r="N5" s="352"/>
      <c r="O5" s="972" t="s">
        <v>114</v>
      </c>
      <c r="P5" s="981"/>
      <c r="Q5" s="973"/>
      <c r="R5" s="637">
        <v>0</v>
      </c>
      <c r="S5" s="16"/>
    </row>
    <row r="6" spans="2:19" s="353" customFormat="1" ht="12.75" customHeight="1" x14ac:dyDescent="0.2">
      <c r="B6" s="349"/>
      <c r="C6" s="972" t="s">
        <v>115</v>
      </c>
      <c r="D6" s="981"/>
      <c r="E6" s="973"/>
      <c r="F6" s="492">
        <f>60%*F5</f>
        <v>0</v>
      </c>
      <c r="G6" s="349"/>
      <c r="H6" s="349"/>
      <c r="I6" s="349"/>
      <c r="J6" s="972" t="s">
        <v>115</v>
      </c>
      <c r="K6" s="981"/>
      <c r="L6" s="973"/>
      <c r="M6" s="492">
        <f>60%*M5</f>
        <v>0</v>
      </c>
      <c r="N6" s="355"/>
      <c r="O6" s="972" t="s">
        <v>115</v>
      </c>
      <c r="P6" s="981"/>
      <c r="Q6" s="973"/>
      <c r="R6" s="492">
        <f>60%*R5</f>
        <v>0</v>
      </c>
      <c r="S6" s="325"/>
    </row>
    <row r="7" spans="2:19" s="353" customFormat="1" ht="12.75" customHeight="1" x14ac:dyDescent="0.2">
      <c r="B7" s="349"/>
      <c r="C7" s="972" t="s">
        <v>232</v>
      </c>
      <c r="D7" s="981"/>
      <c r="E7" s="973"/>
      <c r="F7" s="492">
        <f>SUM(F4,F6)</f>
        <v>0</v>
      </c>
      <c r="G7" s="349"/>
      <c r="H7" s="349"/>
      <c r="I7" s="349"/>
      <c r="J7" s="972" t="s">
        <v>232</v>
      </c>
      <c r="K7" s="981"/>
      <c r="L7" s="973"/>
      <c r="M7" s="492">
        <f>SUM(M4,M6)</f>
        <v>0</v>
      </c>
      <c r="N7" s="352"/>
      <c r="O7" s="1024" t="s">
        <v>232</v>
      </c>
      <c r="P7" s="1025"/>
      <c r="Q7" s="1026"/>
      <c r="R7" s="744">
        <f>SUM(R4,R6)</f>
        <v>0</v>
      </c>
      <c r="S7" s="833" t="s">
        <v>293</v>
      </c>
    </row>
    <row r="8" spans="2:19" s="353" customFormat="1" ht="12.75" customHeight="1" thickBot="1" x14ac:dyDescent="0.25">
      <c r="B8" s="349"/>
      <c r="C8" s="985" t="s">
        <v>127</v>
      </c>
      <c r="D8" s="982"/>
      <c r="E8" s="983"/>
      <c r="F8" s="638">
        <v>0</v>
      </c>
      <c r="G8" s="349"/>
      <c r="H8" s="349"/>
      <c r="I8" s="349"/>
      <c r="J8" s="985" t="s">
        <v>127</v>
      </c>
      <c r="K8" s="982"/>
      <c r="L8" s="983"/>
      <c r="M8" s="640">
        <v>0</v>
      </c>
      <c r="N8" s="352"/>
      <c r="O8" s="985" t="s">
        <v>127</v>
      </c>
      <c r="P8" s="982"/>
      <c r="Q8" s="983"/>
      <c r="R8" s="640">
        <v>0</v>
      </c>
      <c r="S8" s="976"/>
    </row>
    <row r="9" spans="2:19" s="353" customFormat="1" ht="12.75" customHeight="1" thickBot="1" x14ac:dyDescent="0.25">
      <c r="B9" s="349"/>
      <c r="C9" s="344"/>
      <c r="D9" s="344"/>
      <c r="E9" s="344"/>
      <c r="F9" s="358"/>
      <c r="G9" s="349"/>
      <c r="H9" s="349"/>
      <c r="I9" s="349"/>
      <c r="J9" s="344"/>
      <c r="K9" s="344"/>
      <c r="L9" s="344"/>
      <c r="M9" s="359"/>
      <c r="N9" s="349"/>
      <c r="O9" s="349"/>
      <c r="P9" s="349"/>
      <c r="Q9" s="349"/>
      <c r="R9" s="349"/>
    </row>
    <row r="10" spans="2:19" s="353" customFormat="1" ht="12.75" customHeight="1" x14ac:dyDescent="0.2">
      <c r="B10" s="344"/>
      <c r="C10" s="1020" t="s">
        <v>66</v>
      </c>
      <c r="D10" s="1021"/>
      <c r="E10" s="1021"/>
      <c r="F10" s="1022"/>
      <c r="G10" s="360"/>
      <c r="H10" s="361"/>
      <c r="I10" s="349"/>
      <c r="J10" s="1020" t="s">
        <v>66</v>
      </c>
      <c r="K10" s="1021"/>
      <c r="L10" s="1021"/>
      <c r="M10" s="1022"/>
      <c r="N10" s="349"/>
      <c r="O10" s="349"/>
      <c r="P10" s="349"/>
      <c r="Q10" s="349"/>
      <c r="R10" s="349"/>
    </row>
    <row r="11" spans="2:19" s="353" customFormat="1" ht="12.75" customHeight="1" x14ac:dyDescent="0.2">
      <c r="B11" s="344"/>
      <c r="C11" s="972" t="s">
        <v>117</v>
      </c>
      <c r="D11" s="981"/>
      <c r="E11" s="973"/>
      <c r="F11" s="637">
        <v>0</v>
      </c>
      <c r="G11" s="360"/>
      <c r="H11" s="361"/>
      <c r="I11" s="349"/>
      <c r="J11" s="972" t="s">
        <v>117</v>
      </c>
      <c r="K11" s="981"/>
      <c r="L11" s="973"/>
      <c r="M11" s="637">
        <v>0</v>
      </c>
      <c r="N11" s="349"/>
      <c r="O11" s="349"/>
      <c r="P11" s="349"/>
      <c r="Q11" s="349"/>
      <c r="R11" s="349"/>
    </row>
    <row r="12" spans="2:19" s="353" customFormat="1" ht="12.75" customHeight="1" x14ac:dyDescent="0.2">
      <c r="B12" s="344"/>
      <c r="C12" s="972" t="s">
        <v>118</v>
      </c>
      <c r="D12" s="981"/>
      <c r="E12" s="973"/>
      <c r="F12" s="637">
        <v>0</v>
      </c>
      <c r="G12" s="360">
        <f>G11*0.6</f>
        <v>0</v>
      </c>
      <c r="H12" s="361"/>
      <c r="I12" s="349"/>
      <c r="J12" s="972" t="s">
        <v>118</v>
      </c>
      <c r="K12" s="981"/>
      <c r="L12" s="973"/>
      <c r="M12" s="637">
        <v>0</v>
      </c>
      <c r="N12" s="349"/>
      <c r="O12" s="349"/>
      <c r="P12" s="349"/>
      <c r="Q12" s="349"/>
      <c r="R12" s="349"/>
    </row>
    <row r="13" spans="2:19" s="353" customFormat="1" ht="12.75" customHeight="1" thickBot="1" x14ac:dyDescent="0.25">
      <c r="B13" s="344"/>
      <c r="C13" s="972" t="s">
        <v>119</v>
      </c>
      <c r="D13" s="981"/>
      <c r="E13" s="973"/>
      <c r="F13" s="492">
        <f>F12*0.6</f>
        <v>0</v>
      </c>
      <c r="G13" s="362">
        <v>0</v>
      </c>
      <c r="H13" s="361"/>
      <c r="I13" s="349"/>
      <c r="J13" s="972" t="s">
        <v>119</v>
      </c>
      <c r="K13" s="981"/>
      <c r="L13" s="973"/>
      <c r="M13" s="492">
        <f>M12*0.6</f>
        <v>0</v>
      </c>
      <c r="N13" s="349"/>
      <c r="O13" s="349"/>
      <c r="P13" s="349"/>
      <c r="Q13" s="349"/>
      <c r="R13" s="349"/>
    </row>
    <row r="14" spans="2:19" s="353" customFormat="1" ht="12.75" customHeight="1" thickBot="1" x14ac:dyDescent="0.25">
      <c r="B14" s="344"/>
      <c r="C14" s="972" t="s">
        <v>120</v>
      </c>
      <c r="D14" s="981"/>
      <c r="E14" s="973"/>
      <c r="F14" s="492">
        <f>F11+F13</f>
        <v>0</v>
      </c>
      <c r="G14" s="363">
        <f>G10+G12</f>
        <v>0</v>
      </c>
      <c r="H14" s="361"/>
      <c r="I14" s="344"/>
      <c r="J14" s="972" t="s">
        <v>120</v>
      </c>
      <c r="K14" s="981"/>
      <c r="L14" s="973"/>
      <c r="M14" s="492">
        <f>M11+M13</f>
        <v>0</v>
      </c>
      <c r="N14" s="349"/>
      <c r="O14" s="349"/>
      <c r="P14" s="349"/>
      <c r="Q14" s="349"/>
      <c r="R14" s="349"/>
    </row>
    <row r="15" spans="2:19" s="353" customFormat="1" ht="12.75" customHeight="1" thickBot="1" x14ac:dyDescent="0.25">
      <c r="B15" s="344"/>
      <c r="C15" s="985" t="s">
        <v>127</v>
      </c>
      <c r="D15" s="982"/>
      <c r="E15" s="983"/>
      <c r="F15" s="638">
        <v>0</v>
      </c>
      <c r="G15" s="364"/>
      <c r="H15" s="361"/>
      <c r="I15" s="344"/>
      <c r="J15" s="985" t="s">
        <v>127</v>
      </c>
      <c r="K15" s="982"/>
      <c r="L15" s="983"/>
      <c r="M15" s="640">
        <v>0</v>
      </c>
      <c r="N15" s="349"/>
      <c r="O15" s="349"/>
      <c r="P15" s="349"/>
      <c r="Q15" s="349"/>
      <c r="R15" s="349"/>
    </row>
    <row r="16" spans="2:19" s="353" customFormat="1" ht="12.75" customHeight="1" thickBot="1" x14ac:dyDescent="0.25">
      <c r="B16" s="344"/>
      <c r="C16" s="344"/>
      <c r="D16" s="344"/>
      <c r="E16" s="344"/>
      <c r="F16" s="498">
        <v>0</v>
      </c>
      <c r="G16" s="365"/>
      <c r="H16" s="361"/>
      <c r="I16" s="366"/>
      <c r="J16" s="366"/>
      <c r="K16" s="367"/>
      <c r="L16" s="344"/>
      <c r="M16" s="497" t="s">
        <v>128</v>
      </c>
      <c r="N16" s="349"/>
      <c r="O16" s="349"/>
      <c r="P16" s="349"/>
      <c r="Q16" s="349"/>
      <c r="R16" s="368" t="s">
        <v>128</v>
      </c>
    </row>
    <row r="17" spans="2:18" s="353" customFormat="1" ht="12.75" customHeight="1" thickBot="1" x14ac:dyDescent="0.25">
      <c r="B17" s="344"/>
      <c r="C17" s="998" t="s">
        <v>69</v>
      </c>
      <c r="D17" s="1009"/>
      <c r="E17" s="1010"/>
      <c r="F17" s="494">
        <f>CostoCost_NuovaCostResid_SupCompl+CostoCost_NuovaCostComm_SupCompl</f>
        <v>0</v>
      </c>
      <c r="G17" s="369" t="s">
        <v>70</v>
      </c>
      <c r="H17" s="369"/>
      <c r="I17" s="369"/>
      <c r="J17" s="998" t="s">
        <v>69</v>
      </c>
      <c r="K17" s="1009"/>
      <c r="L17" s="1010"/>
      <c r="M17" s="494">
        <f>CostoCost_RistResid_SupCompl+CostoCost_RistComm_SupCompl</f>
        <v>0</v>
      </c>
      <c r="N17" s="344"/>
      <c r="O17" s="998" t="s">
        <v>69</v>
      </c>
      <c r="P17" s="1009"/>
      <c r="Q17" s="1010"/>
      <c r="R17" s="494">
        <f>CostoCost_SottotResid_SupCompl</f>
        <v>0</v>
      </c>
    </row>
    <row r="18" spans="2:18" s="353" customFormat="1" ht="12.75" customHeight="1" x14ac:dyDescent="0.2">
      <c r="B18" s="344"/>
      <c r="C18" s="344"/>
      <c r="D18" s="344"/>
      <c r="E18" s="344"/>
      <c r="F18" s="370"/>
      <c r="G18" s="365"/>
      <c r="H18" s="361"/>
      <c r="I18" s="366"/>
      <c r="J18" s="366"/>
      <c r="K18" s="367"/>
      <c r="L18" s="344"/>
      <c r="M18" s="344"/>
      <c r="N18" s="344"/>
      <c r="O18" s="371"/>
      <c r="P18" s="372"/>
      <c r="Q18" s="344"/>
      <c r="R18" s="344"/>
    </row>
    <row r="19" spans="2:18" s="353" customFormat="1" ht="12.75" customHeight="1" thickBot="1" x14ac:dyDescent="0.25">
      <c r="B19" s="1004" t="s">
        <v>244</v>
      </c>
      <c r="C19" s="1004"/>
      <c r="D19" s="1004"/>
      <c r="E19" s="1004"/>
      <c r="F19" s="373"/>
      <c r="G19" s="349"/>
      <c r="H19" s="349"/>
      <c r="I19" s="343"/>
      <c r="J19" s="343"/>
      <c r="K19" s="343"/>
      <c r="L19" s="343"/>
      <c r="M19" s="374"/>
      <c r="N19" s="375"/>
      <c r="O19" s="376"/>
      <c r="P19" s="376"/>
      <c r="Q19" s="376"/>
      <c r="R19" s="374"/>
    </row>
    <row r="20" spans="2:18" s="353" customFormat="1" ht="12.75" customHeight="1" thickBot="1" x14ac:dyDescent="0.25">
      <c r="B20" s="1005" t="s">
        <v>130</v>
      </c>
      <c r="C20" s="1005"/>
      <c r="D20" s="1005"/>
      <c r="E20" s="1011"/>
      <c r="F20" s="379">
        <f>CostoBase</f>
        <v>403.83</v>
      </c>
      <c r="G20" s="349"/>
      <c r="H20" s="349"/>
      <c r="I20" s="343"/>
      <c r="J20" s="343"/>
      <c r="K20" s="343"/>
      <c r="L20" s="378"/>
      <c r="M20" s="379">
        <f>CostoBase</f>
        <v>403.83</v>
      </c>
      <c r="N20" s="349"/>
      <c r="O20" s="343"/>
      <c r="P20" s="343"/>
      <c r="Q20" s="378"/>
      <c r="R20" s="379">
        <f>CostoBase</f>
        <v>403.83</v>
      </c>
    </row>
    <row r="21" spans="2:18" s="353" customFormat="1" ht="12.75" customHeight="1" thickBot="1" x14ac:dyDescent="0.25">
      <c r="B21" s="1005" t="s">
        <v>131</v>
      </c>
      <c r="C21" s="1005"/>
      <c r="D21" s="1005"/>
      <c r="E21" s="1011"/>
      <c r="F21" s="379">
        <f ca="1">DetClasse_CostoMaggiorato</f>
        <v>403.83</v>
      </c>
      <c r="G21" s="349"/>
      <c r="H21" s="349"/>
      <c r="I21" s="343"/>
      <c r="J21" s="343"/>
      <c r="K21" s="343"/>
      <c r="L21" s="378"/>
      <c r="M21" s="379">
        <f ca="1">DetClasse_CostoMaggiorato</f>
        <v>403.83</v>
      </c>
      <c r="N21" s="349"/>
      <c r="O21" s="343"/>
      <c r="P21" s="343"/>
      <c r="Q21" s="378"/>
      <c r="R21" s="379">
        <f ca="1">DetClasse_CostoMaggiorato</f>
        <v>403.83</v>
      </c>
    </row>
    <row r="22" spans="2:18" s="353" customFormat="1" ht="12.75" customHeight="1" thickBot="1" x14ac:dyDescent="0.25">
      <c r="B22" s="1005" t="s">
        <v>129</v>
      </c>
      <c r="C22" s="1005"/>
      <c r="D22" s="1005"/>
      <c r="E22" s="1011"/>
      <c r="F22" s="379">
        <f ca="1">CostoCost_NuovaCost_SupCompl*F21</f>
        <v>0</v>
      </c>
      <c r="G22" s="380"/>
      <c r="H22" s="361"/>
      <c r="I22" s="366"/>
      <c r="J22" s="366"/>
      <c r="K22" s="343"/>
      <c r="L22" s="378"/>
      <c r="M22" s="379">
        <f ca="1">CostoCost_Rist_SupCompl*M21</f>
        <v>0</v>
      </c>
      <c r="N22" s="349"/>
      <c r="O22" s="343"/>
      <c r="P22" s="343"/>
      <c r="Q22" s="378"/>
      <c r="R22" s="379">
        <f ca="1">CostoCost_Sot_SupCompl*R21</f>
        <v>0</v>
      </c>
    </row>
    <row r="23" spans="2:18" s="353" customFormat="1" ht="12.75" customHeight="1" x14ac:dyDescent="0.2">
      <c r="B23" s="381"/>
      <c r="C23" s="366"/>
      <c r="D23" s="366"/>
      <c r="E23" s="366"/>
      <c r="F23" s="382"/>
      <c r="G23" s="380"/>
      <c r="H23" s="361"/>
      <c r="I23" s="366"/>
      <c r="J23" s="366"/>
      <c r="K23" s="366"/>
      <c r="L23" s="366"/>
      <c r="M23" s="366"/>
      <c r="N23" s="349"/>
      <c r="O23" s="343"/>
      <c r="P23" s="343"/>
      <c r="Q23" s="344"/>
      <c r="R23" s="344"/>
    </row>
    <row r="24" spans="2:18" s="353" customFormat="1" ht="12.75" customHeight="1" thickBot="1" x14ac:dyDescent="0.25">
      <c r="B24" s="1004" t="s">
        <v>241</v>
      </c>
      <c r="C24" s="1004"/>
      <c r="D24" s="1004"/>
      <c r="E24" s="374" t="s">
        <v>138</v>
      </c>
      <c r="F24" s="383"/>
      <c r="G24" s="349"/>
      <c r="H24" s="349"/>
      <c r="I24" s="343"/>
      <c r="J24" s="343"/>
      <c r="K24" s="343"/>
      <c r="L24" s="378" t="s">
        <v>138</v>
      </c>
      <c r="M24" s="343"/>
      <c r="N24" s="349"/>
      <c r="O24" s="343"/>
      <c r="P24" s="343"/>
      <c r="Q24" s="378" t="s">
        <v>138</v>
      </c>
      <c r="R24" s="344"/>
    </row>
    <row r="25" spans="2:18" s="353" customFormat="1" ht="12.75" customHeight="1" thickBot="1" x14ac:dyDescent="0.25">
      <c r="B25" s="1005" t="s">
        <v>132</v>
      </c>
      <c r="C25" s="1005"/>
      <c r="D25" s="1011"/>
      <c r="E25" s="384">
        <f ca="1">IF(ISERROR(MATCH(DetCL_DettContCostoCost_SommaIncrementi,INDIRECT(DetClasse_NomeMatriceMinClassi),1))=TRUE,INDEX(INDIRECT(DetClasse_NomeMatrice),1,5),INDEX(INDIRECT(DetClasse_NomeMatrice),MATCH(DetCL_DettContCostoCost_SommaIncrementi,INDIRECT(DetClasse_NomeMatriceMinClassi),1),5))</f>
        <v>6</v>
      </c>
      <c r="F25" s="379">
        <f ca="1">CostoCost_NuovaCost_CcEdificio*CostoCost_NuovaCost_ContrBaseMinistAliq/100</f>
        <v>0</v>
      </c>
      <c r="G25" s="349"/>
      <c r="H25" s="349"/>
      <c r="I25" s="343"/>
      <c r="J25" s="343"/>
      <c r="K25" s="343"/>
      <c r="L25" s="385">
        <f ca="1">IF(ISERROR(MATCH([0]!DetCL_DettContCostoCost_SommaIncrementi,INDIRECT(DetClasse_NomeMatriceMinClassi),1))=TRUE,INDEX(INDIRECT(DetClasse_NomeMatrice),1,6),INDEX(INDIRECT(DetClasse_NomeMatrice),MATCH([0]!DetCL_DettContCostoCost_SommaIncrementi,INDIRECT(DetClasse_NomeMatriceMinClassi),1),6))</f>
        <v>5</v>
      </c>
      <c r="M25" s="379">
        <f ca="1">CostoCost_Rist_CcEdificio*CostoCost_Rist_ContrBaseMinistAliq/100</f>
        <v>0</v>
      </c>
      <c r="N25" s="349"/>
      <c r="O25" s="349"/>
      <c r="P25" s="349"/>
      <c r="Q25" s="385">
        <f ca="1">IF(ISERROR(MATCH([0]!DetCL_DettContCostoCost_SommaIncrementi,INDIRECT(DetClasse_NomeMatriceMinClassi),1))=TRUE,INDEX(INDIRECT(DetClasse_NomeMatrice),1,5),INDEX(INDIRECT(DetClasse_NomeMatrice),MATCH([0]!DetCL_DettContCostoCost_SommaIncrementi,INDIRECT(DetClasse_NomeMatriceMinClassi),1),5))</f>
        <v>6</v>
      </c>
      <c r="R25" s="379">
        <f ca="1">CostoCost_Sot_CcEdificio*CostoCost_Sot_ContrBaseMinistAliq/100</f>
        <v>0</v>
      </c>
    </row>
    <row r="26" spans="2:18" s="353" customFormat="1" ht="12.75" customHeight="1" thickBot="1" x14ac:dyDescent="0.25">
      <c r="B26" s="1005" t="s">
        <v>133</v>
      </c>
      <c r="C26" s="1005"/>
      <c r="D26" s="1011"/>
      <c r="E26" s="384">
        <f ca="1">IF(ISERROR(MATCH(DetCL_DettContCostoCost_SommaIncrementi,INDIRECT(DetClasse_NomeMatriceMinClassi),1))=TRUE,INDEX(INDIRECT(DetClasse_NomeMatrice),1,5),INDEX(INDIRECT(DetClasse_NomeMatrice),MATCH(DetCL_DettContCostoCost_SommaIncrementi,INDIRECT(DetClasse_NomeMatriceMinClassi),1),5))</f>
        <v>6</v>
      </c>
      <c r="F26" s="379">
        <f ca="1">CostoCost_NuovaCostResid_ComputoEstim*CostoCost_NuovaCost_ContrComEstResAliq/100</f>
        <v>0</v>
      </c>
      <c r="G26" s="349"/>
      <c r="H26" s="349"/>
      <c r="I26" s="343"/>
      <c r="J26" s="343"/>
      <c r="K26" s="343"/>
      <c r="L26" s="385">
        <f ca="1">IF(ISERROR(MATCH([0]!DetCL_DettContCostoCost_SommaIncrementi,INDIRECT(DetClasse_NomeMatriceMinClassi),1))=TRUE,INDEX(INDIRECT(DetClasse_NomeMatrice),1,6),INDEX(INDIRECT(DetClasse_NomeMatrice),MATCH([0]!DetCL_DettContCostoCost_SommaIncrementi,INDIRECT(DetClasse_NomeMatriceMinClassi),1),6))</f>
        <v>5</v>
      </c>
      <c r="M26" s="379">
        <f ca="1">CostoCost_Rist_Resid_ComputoEstim*CostoCost_Rist_ContrComEstResAliq/100</f>
        <v>0</v>
      </c>
      <c r="N26" s="349"/>
      <c r="O26" s="349"/>
      <c r="P26" s="349"/>
      <c r="Q26" s="385">
        <f ca="1">IF(ISERROR(MATCH([0]!DetCL_DettContCostoCost_SommaIncrementi,INDIRECT(DetClasse_NomeMatriceMinClassi),1))=TRUE,INDEX(INDIRECT(DetClasse_NomeMatrice),1,5),INDEX(INDIRECT(DetClasse_NomeMatrice),MATCH([0]!DetCL_DettContCostoCost_SommaIncrementi,INDIRECT(DetClasse_NomeMatriceMinClassi),1),5))</f>
        <v>6</v>
      </c>
      <c r="R26" s="379">
        <f ca="1">CostoCost_Sottotetti_ComputoEstim*CostoCost_Sot_ContrComEstResAliq/100</f>
        <v>0</v>
      </c>
    </row>
    <row r="27" spans="2:18" s="353" customFormat="1" ht="12.75" customHeight="1" thickBot="1" x14ac:dyDescent="0.25">
      <c r="B27" s="1005" t="s">
        <v>134</v>
      </c>
      <c r="C27" s="1005"/>
      <c r="D27" s="1011"/>
      <c r="E27" s="661">
        <f>Parametri_Aliquota_terziario_nuova_costr</f>
        <v>0.1</v>
      </c>
      <c r="F27" s="379">
        <f>CostoCost_NuovaCostComm_ComputoEstim*CostoCost_NuovaCost_ContrComEstComAliq</f>
        <v>0</v>
      </c>
      <c r="G27" s="349"/>
      <c r="H27" s="349"/>
      <c r="I27" s="343"/>
      <c r="J27" s="343"/>
      <c r="K27" s="343"/>
      <c r="L27" s="661">
        <f>Parametri_Aliquota_terziario_ristrutt</f>
        <v>0.1</v>
      </c>
      <c r="M27" s="379">
        <f>CostoCost_RistComm_ComputoEstim*CostoCost_Rist_ContrComEstComAliq</f>
        <v>0</v>
      </c>
      <c r="N27" s="349"/>
      <c r="O27" s="349"/>
      <c r="P27" s="349"/>
      <c r="Q27" s="344"/>
      <c r="R27" s="493"/>
    </row>
    <row r="28" spans="2:18" s="353" customFormat="1" ht="12.75" customHeight="1" thickBot="1" x14ac:dyDescent="0.25">
      <c r="B28" s="1016" t="s">
        <v>135</v>
      </c>
      <c r="C28" s="1016"/>
      <c r="D28" s="1016"/>
      <c r="E28" s="343"/>
      <c r="F28" s="379">
        <f ca="1">F25+F26+F27</f>
        <v>0</v>
      </c>
      <c r="G28" s="349"/>
      <c r="H28" s="349"/>
      <c r="I28" s="343"/>
      <c r="J28" s="343"/>
      <c r="K28" s="343"/>
      <c r="L28" s="343"/>
      <c r="M28" s="379">
        <f ca="1">M25+M26+M27</f>
        <v>0</v>
      </c>
      <c r="N28" s="349"/>
      <c r="O28" s="349"/>
      <c r="P28" s="349"/>
      <c r="Q28" s="344"/>
      <c r="R28" s="379">
        <f ca="1">R25+R26</f>
        <v>0</v>
      </c>
    </row>
    <row r="29" spans="2:18" s="353" customFormat="1" ht="12.75" customHeight="1" x14ac:dyDescent="0.2">
      <c r="B29" s="381"/>
      <c r="C29" s="366"/>
      <c r="D29" s="366"/>
      <c r="E29" s="343"/>
      <c r="F29" s="383"/>
      <c r="G29" s="349"/>
      <c r="H29" s="349"/>
      <c r="I29" s="343"/>
      <c r="J29" s="343"/>
      <c r="K29" s="343"/>
      <c r="L29" s="343"/>
      <c r="M29" s="343"/>
      <c r="N29" s="349"/>
      <c r="O29" s="349"/>
      <c r="P29" s="349"/>
      <c r="Q29" s="344"/>
      <c r="R29" s="348"/>
    </row>
    <row r="30" spans="2:18" s="353" customFormat="1" ht="12.75" customHeight="1" thickBot="1" x14ac:dyDescent="0.25">
      <c r="B30" s="1004" t="s">
        <v>242</v>
      </c>
      <c r="C30" s="1004"/>
      <c r="D30" s="1004"/>
      <c r="E30" s="343"/>
      <c r="F30" s="383"/>
      <c r="G30" s="349"/>
      <c r="H30" s="349"/>
      <c r="I30" s="343"/>
      <c r="J30" s="343"/>
      <c r="K30" s="343"/>
      <c r="L30" s="343"/>
      <c r="M30" s="343"/>
      <c r="N30" s="349"/>
      <c r="O30" s="349"/>
      <c r="P30" s="349"/>
      <c r="Q30" s="344"/>
      <c r="R30" s="348"/>
    </row>
    <row r="31" spans="2:18" s="353" customFormat="1" ht="12.75" customHeight="1" thickBot="1" x14ac:dyDescent="0.25">
      <c r="B31" s="1005" t="s">
        <v>136</v>
      </c>
      <c r="C31" s="1005"/>
      <c r="D31" s="1005"/>
      <c r="E31" s="343"/>
      <c r="F31" s="639">
        <v>0</v>
      </c>
      <c r="G31" s="349"/>
      <c r="H31" s="349"/>
      <c r="I31" s="343"/>
      <c r="J31" s="343"/>
      <c r="K31" s="343"/>
      <c r="L31" s="343"/>
      <c r="M31" s="641">
        <v>0</v>
      </c>
      <c r="N31" s="349"/>
      <c r="O31" s="349"/>
      <c r="P31" s="1014" t="s">
        <v>8</v>
      </c>
      <c r="Q31" s="1015"/>
      <c r="R31" s="387">
        <f>Parametri_MaggiorazioneSottotettiCC</f>
        <v>0.1</v>
      </c>
    </row>
    <row r="32" spans="2:18" s="353" customFormat="1" ht="12.75" customHeight="1" thickBot="1" x14ac:dyDescent="0.25">
      <c r="B32" s="1006" t="s">
        <v>137</v>
      </c>
      <c r="C32" s="1006"/>
      <c r="D32" s="1006"/>
      <c r="E32" s="343"/>
      <c r="F32" s="639">
        <v>0</v>
      </c>
      <c r="G32" s="349"/>
      <c r="H32" s="349"/>
      <c r="I32" s="343"/>
      <c r="J32" s="343"/>
      <c r="K32" s="343"/>
      <c r="L32" s="343"/>
      <c r="M32" s="641">
        <v>0</v>
      </c>
      <c r="N32" s="349"/>
      <c r="O32" s="349"/>
      <c r="P32" s="349"/>
      <c r="Q32" s="344"/>
      <c r="R32" s="348"/>
    </row>
    <row r="33" spans="2:18" s="353" customFormat="1" ht="12.75" customHeight="1" thickBot="1" x14ac:dyDescent="0.25">
      <c r="B33" s="388"/>
      <c r="C33" s="348"/>
      <c r="D33" s="348"/>
      <c r="E33" s="343"/>
      <c r="F33" s="383"/>
      <c r="G33" s="349"/>
      <c r="H33" s="349"/>
      <c r="I33" s="343"/>
      <c r="J33" s="343"/>
      <c r="K33" s="343"/>
      <c r="L33" s="343"/>
      <c r="M33" s="343"/>
      <c r="N33" s="349"/>
      <c r="O33" s="349"/>
      <c r="P33" s="349"/>
      <c r="Q33" s="344"/>
      <c r="R33" s="348"/>
    </row>
    <row r="34" spans="2:18" s="353" customFormat="1" ht="12.75" customHeight="1" thickBot="1" x14ac:dyDescent="0.25">
      <c r="B34" s="1007" t="s">
        <v>243</v>
      </c>
      <c r="C34" s="1007"/>
      <c r="D34" s="1007"/>
      <c r="E34" s="1008"/>
      <c r="F34" s="496">
        <f ca="1">IF(EdiliziaConvenzionata="No",F28-F31-F32,"0")</f>
        <v>0</v>
      </c>
      <c r="G34" s="349"/>
      <c r="H34" s="349"/>
      <c r="I34" s="343"/>
      <c r="J34" s="343"/>
      <c r="K34" s="343"/>
      <c r="L34" s="343"/>
      <c r="M34" s="496">
        <f ca="1">IF(EdiliziaConvenzionata="No",M28-M31-M32,"0")</f>
        <v>0</v>
      </c>
      <c r="N34" s="349"/>
      <c r="O34" s="349"/>
      <c r="P34" s="349"/>
      <c r="Q34" s="344"/>
      <c r="R34" s="496">
        <f ca="1">IF(EdiliziaConvenzionata="No",(R28*R31)+R28,"0")</f>
        <v>0</v>
      </c>
    </row>
    <row r="35" spans="2:18" s="391" customFormat="1" ht="12.75" customHeight="1" thickBot="1" x14ac:dyDescent="0.25">
      <c r="B35" s="390"/>
      <c r="C35" s="390"/>
      <c r="D35" s="390"/>
      <c r="E35" s="390"/>
      <c r="I35" s="390"/>
      <c r="J35" s="390"/>
      <c r="K35" s="390"/>
      <c r="L35" s="390"/>
      <c r="M35" s="390"/>
    </row>
    <row r="36" spans="2:18" s="495" customFormat="1" ht="15" customHeight="1" thickBot="1" x14ac:dyDescent="0.3">
      <c r="B36" s="1012" t="s">
        <v>105</v>
      </c>
      <c r="C36" s="1012"/>
      <c r="D36" s="1012"/>
      <c r="E36" s="1013"/>
      <c r="F36" s="1017">
        <f ca="1">CostoCost_NuovaEdif_Dovuto+CostoCost_RistrAmpl_Dovuto+DettContCostoCost_Sottot_Dovuto</f>
        <v>0</v>
      </c>
      <c r="G36" s="1018"/>
      <c r="H36" s="1018"/>
      <c r="I36" s="1018"/>
      <c r="J36" s="1018"/>
      <c r="K36" s="1018"/>
      <c r="L36" s="1018"/>
      <c r="M36" s="1018"/>
      <c r="N36" s="1018"/>
      <c r="O36" s="1018"/>
      <c r="P36" s="1018"/>
      <c r="Q36" s="1018"/>
      <c r="R36" s="1019"/>
    </row>
    <row r="37" spans="2:18" ht="12.75" customHeight="1" x14ac:dyDescent="0.2">
      <c r="B37" s="346"/>
      <c r="C37" s="346"/>
      <c r="D37" s="346"/>
    </row>
    <row r="38" spans="2:18" ht="15" hidden="1" customHeight="1" x14ac:dyDescent="0.2"/>
    <row r="39" spans="2:18" ht="15" hidden="1" customHeight="1" x14ac:dyDescent="0.2"/>
    <row r="40" spans="2:18" ht="15" hidden="1" customHeight="1" x14ac:dyDescent="0.2"/>
    <row r="41" spans="2:18" ht="15" hidden="1" customHeight="1" x14ac:dyDescent="0.2"/>
    <row r="42" spans="2:18" ht="15" hidden="1" customHeight="1" x14ac:dyDescent="0.2"/>
    <row r="43" spans="2:18" ht="15" hidden="1" customHeight="1" x14ac:dyDescent="0.2">
      <c r="F43" s="393"/>
    </row>
    <row r="44" spans="2:18" ht="15" hidden="1" customHeight="1" x14ac:dyDescent="0.2"/>
    <row r="45" spans="2:18" ht="15" hidden="1" customHeight="1" x14ac:dyDescent="0.2"/>
    <row r="46" spans="2:18" ht="15" hidden="1" customHeight="1" x14ac:dyDescent="0.2"/>
    <row r="47" spans="2:18" ht="15" hidden="1" customHeight="1" x14ac:dyDescent="0.2"/>
    <row r="48" spans="2:18" ht="15" hidden="1" customHeight="1" x14ac:dyDescent="0.2"/>
    <row r="49" ht="15" hidden="1" customHeight="1" x14ac:dyDescent="0.2"/>
    <row r="50" ht="14.25" hidden="1" customHeight="1" x14ac:dyDescent="0.2"/>
    <row r="51" ht="15" hidden="1" customHeight="1" x14ac:dyDescent="0.2"/>
    <row r="52" ht="15" hidden="1" customHeight="1" x14ac:dyDescent="0.2"/>
    <row r="53" ht="15" hidden="1" customHeight="1" x14ac:dyDescent="0.2"/>
    <row r="54" ht="15" hidden="1" customHeight="1" x14ac:dyDescent="0.2"/>
    <row r="55" ht="15" hidden="1" customHeight="1" x14ac:dyDescent="0.2"/>
    <row r="56" ht="15" hidden="1" customHeight="1" x14ac:dyDescent="0.2"/>
    <row r="57" ht="15" hidden="1" customHeight="1" x14ac:dyDescent="0.2"/>
    <row r="58" ht="15" hidden="1" customHeight="1" x14ac:dyDescent="0.2"/>
    <row r="59" ht="15" hidden="1" customHeight="1" x14ac:dyDescent="0.2"/>
    <row r="60" ht="15" hidden="1" customHeight="1" x14ac:dyDescent="0.2"/>
    <row r="61" ht="15" hidden="1" customHeight="1" x14ac:dyDescent="0.2"/>
    <row r="62" ht="15" hidden="1" customHeight="1" x14ac:dyDescent="0.2"/>
    <row r="63" ht="15" hidden="1" customHeight="1" x14ac:dyDescent="0.2"/>
    <row r="64" ht="15" hidden="1" customHeight="1" x14ac:dyDescent="0.2"/>
    <row r="65" ht="15" hidden="1" customHeight="1" x14ac:dyDescent="0.2"/>
    <row r="66" ht="15" hidden="1" customHeight="1" x14ac:dyDescent="0.2"/>
    <row r="67" ht="15" hidden="1" customHeight="1" x14ac:dyDescent="0.2"/>
    <row r="68" ht="15" hidden="1" customHeight="1" x14ac:dyDescent="0.2"/>
    <row r="69" ht="15" hidden="1" customHeight="1" x14ac:dyDescent="0.2"/>
    <row r="70" ht="15" hidden="1" customHeight="1" x14ac:dyDescent="0.2"/>
    <row r="71" ht="15" hidden="1" customHeight="1" x14ac:dyDescent="0.2"/>
    <row r="72" ht="15" hidden="1" customHeight="1" x14ac:dyDescent="0.2"/>
    <row r="73" ht="15" hidden="1" customHeight="1" x14ac:dyDescent="0.2"/>
    <row r="74" ht="15" hidden="1" customHeight="1" x14ac:dyDescent="0.2"/>
    <row r="75" ht="15" hidden="1" customHeight="1" x14ac:dyDescent="0.2"/>
    <row r="76" ht="15" hidden="1" customHeight="1" x14ac:dyDescent="0.2"/>
    <row r="77" ht="15" hidden="1" customHeight="1" x14ac:dyDescent="0.2"/>
    <row r="78" ht="15" hidden="1" customHeight="1" x14ac:dyDescent="0.2"/>
    <row r="79" ht="15" hidden="1" customHeight="1" x14ac:dyDescent="0.2"/>
    <row r="80" ht="15" hidden="1" customHeight="1" x14ac:dyDescent="0.2"/>
    <row r="81" ht="15" hidden="1" customHeight="1" x14ac:dyDescent="0.2"/>
    <row r="82" ht="15" hidden="1" customHeight="1" x14ac:dyDescent="0.2"/>
    <row r="83" ht="11.25" hidden="1" customHeight="1" x14ac:dyDescent="0.2"/>
    <row r="84" ht="11.25" hidden="1" customHeight="1" x14ac:dyDescent="0.2"/>
  </sheetData>
  <sheetProtection password="83CC" sheet="1" objects="1" scenarios="1" formatColumns="0" formatRows="0" insertRows="0"/>
  <mergeCells count="53">
    <mergeCell ref="O8:Q8"/>
    <mergeCell ref="C4:E4"/>
    <mergeCell ref="O4:Q4"/>
    <mergeCell ref="O5:Q5"/>
    <mergeCell ref="O6:Q6"/>
    <mergeCell ref="O7:Q7"/>
    <mergeCell ref="C2:F2"/>
    <mergeCell ref="J2:M2"/>
    <mergeCell ref="O2:R2"/>
    <mergeCell ref="J3:M3"/>
    <mergeCell ref="C3:F3"/>
    <mergeCell ref="O3:R3"/>
    <mergeCell ref="C13:E13"/>
    <mergeCell ref="J4:L4"/>
    <mergeCell ref="J5:L5"/>
    <mergeCell ref="J6:L6"/>
    <mergeCell ref="J7:L7"/>
    <mergeCell ref="J8:L8"/>
    <mergeCell ref="J11:L11"/>
    <mergeCell ref="J12:L12"/>
    <mergeCell ref="C5:E5"/>
    <mergeCell ref="C6:E6"/>
    <mergeCell ref="C7:E7"/>
    <mergeCell ref="C8:E8"/>
    <mergeCell ref="C11:E11"/>
    <mergeCell ref="C12:E12"/>
    <mergeCell ref="C10:F10"/>
    <mergeCell ref="J10:M10"/>
    <mergeCell ref="B36:E36"/>
    <mergeCell ref="P31:Q31"/>
    <mergeCell ref="B22:E22"/>
    <mergeCell ref="B24:D24"/>
    <mergeCell ref="B25:D25"/>
    <mergeCell ref="B26:D26"/>
    <mergeCell ref="B27:D27"/>
    <mergeCell ref="B28:D28"/>
    <mergeCell ref="F36:R36"/>
    <mergeCell ref="S7:S8"/>
    <mergeCell ref="B30:D30"/>
    <mergeCell ref="B31:D31"/>
    <mergeCell ref="B32:D32"/>
    <mergeCell ref="B34:E34"/>
    <mergeCell ref="C17:E17"/>
    <mergeCell ref="J17:L17"/>
    <mergeCell ref="O17:Q17"/>
    <mergeCell ref="B19:E19"/>
    <mergeCell ref="B20:E20"/>
    <mergeCell ref="B21:E21"/>
    <mergeCell ref="J13:L13"/>
    <mergeCell ref="J14:L14"/>
    <mergeCell ref="J15:L15"/>
    <mergeCell ref="C14:E14"/>
    <mergeCell ref="C15:E15"/>
  </mergeCells>
  <conditionalFormatting sqref="M4:M5 M8 M11:M12 M15 M31:M32">
    <cfRule type="expression" dxfId="73" priority="19" stopIfTrue="1">
      <formula>selezione_costo_costr_standard_ampliamento="x"</formula>
    </cfRule>
    <cfRule type="expression" dxfId="72" priority="20" stopIfTrue="1">
      <formula>selezione_costo_costr_standard_ristrutturazione="x"</formula>
    </cfRule>
    <cfRule type="expression" dxfId="71" priority="21">
      <formula>AND(selezione_passo_descrizione_intervento="x",selezione_costo_costr_standard_sottotetti="o",selezione_calcolo_completo="o")</formula>
    </cfRule>
    <cfRule type="expression" dxfId="70" priority="22">
      <formula>AND(selezione_passo_descrizione_intervento="x",selezione_costo_costr_standard_sottotetti="x",selezione_calcolo_completo="o")</formula>
    </cfRule>
    <cfRule type="expression" dxfId="69" priority="23">
      <formula>AND(selezione_passo_descrizione_intervento="x",selezione_costo_costr_standard_ristrutturazione="o",selezione_calcolo_completo="o")</formula>
    </cfRule>
    <cfRule type="expression" dxfId="68" priority="24">
      <formula>AND(selezione_passo_descrizione_intervento="x",selezione_costo_costr_standard_ampliamento="o",selezione_calcolo_completo="o")</formula>
    </cfRule>
    <cfRule type="expression" dxfId="67" priority="34">
      <formula>AND(selezione_passo_descrizione_intervento="x",selezione_costo_costr_standard_nuova_costruzione="o",selezione_calcolo_completo="o")</formula>
    </cfRule>
    <cfRule type="expression" dxfId="66" priority="35">
      <formula>AND(selezione_passo_descrizione_intervento="x",selezione_costo_costr_standard_nuova_costruzione="x",selezione_calcolo_completo="o")</formula>
    </cfRule>
  </conditionalFormatting>
  <conditionalFormatting sqref="F4:F5 F11:F12 F31:F32 F8 F15">
    <cfRule type="expression" dxfId="65" priority="25" stopIfTrue="1">
      <formula>selezione_costo_costr_standard_nuova_costruzione="x"</formula>
    </cfRule>
    <cfRule type="expression" dxfId="64" priority="27">
      <formula>AND(selezione_passo_descrizione_intervento="x",selezione_costo_costr_standard_sottotetti="o",selezione_calcolo_completo="o")</formula>
    </cfRule>
    <cfRule type="expression" dxfId="63" priority="28">
      <formula>AND(selezione_passo_descrizione_intervento="x",selezione_costo_costr_standard_sottotetti="x",selezione_calcolo_completo="o")</formula>
    </cfRule>
    <cfRule type="expression" dxfId="62" priority="29">
      <formula>AND(selezione_passo_descrizione_intervento="x",selezione_costo_costr_standard_ristrutturazione="o",selezione_calcolo_completo="o")</formula>
    </cfRule>
    <cfRule type="expression" dxfId="61" priority="30">
      <formula>AND(selezione_passo_descrizione_intervento="x",selezione_costo_costr_standard_ristrutturazione="x",selezione_calcolo_completo="o")</formula>
    </cfRule>
    <cfRule type="expression" dxfId="60" priority="31">
      <formula>AND(selezione_passo_descrizione_intervento="x",selezione_costo_costr_standard_ampliamento="X",selezione_calcolo_completo="o")</formula>
    </cfRule>
    <cfRule type="expression" dxfId="59" priority="32">
      <formula>AND(selezione_passo_descrizione_intervento="x",selezione_costo_costr_standard_ampliamento="o",selezione_calcolo_completo="o")</formula>
    </cfRule>
    <cfRule type="expression" dxfId="58" priority="33">
      <formula>AND(selezione_passo_descrizione_intervento="x",selezione_costo_costr_standard_nuova_costruzione="o",selezione_calcolo_completo="o")</formula>
    </cfRule>
  </conditionalFormatting>
  <conditionalFormatting sqref="R4:R5">
    <cfRule type="expression" dxfId="57" priority="10" stopIfTrue="1">
      <formula>selezione_costo_costr_standard_sottotetti="x"</formula>
    </cfRule>
    <cfRule type="expression" dxfId="56" priority="12">
      <formula>AND(selezione_passo_descrizione_intervento="x",selezione_costo_costr_standard_sottotetti="o",selezione_calcolo_completo="o")</formula>
    </cfRule>
    <cfRule type="expression" dxfId="55" priority="13">
      <formula>AND(selezione_passo_descrizione_intervento="x",selezione_costo_costr_standard_ristrutturazione="o",selezione_calcolo_completo="o")</formula>
    </cfRule>
    <cfRule type="expression" dxfId="54" priority="14">
      <formula>AND(selezione_passo_descrizione_intervento="x",selezione_costo_costr_standard_ristrutturazione="x",selezione_calcolo_completo="o")</formula>
    </cfRule>
    <cfRule type="expression" dxfId="53" priority="15">
      <formula>AND(selezione_passo_descrizione_intervento="x",selezione_costo_costr_standard_ampliamento="X",selezione_calcolo_completo="o")</formula>
    </cfRule>
    <cfRule type="expression" dxfId="52" priority="16">
      <formula>AND(selezione_passo_descrizione_intervento="x",selezione_costo_costr_standard_ampliamento="o",selezione_calcolo_completo="o")</formula>
    </cfRule>
    <cfRule type="expression" dxfId="51" priority="17">
      <formula>AND(selezione_passo_descrizione_intervento="x",selezione_costo_costr_standard_nuova_costruzione="o",selezione_calcolo_completo="o")</formula>
    </cfRule>
    <cfRule type="expression" dxfId="50" priority="18">
      <formula>AND(selezione_passo_descrizione_intervento="x",selezione_costo_costr_standard_nuova_costruzione="x",selezione_calcolo_completo="o")</formula>
    </cfRule>
  </conditionalFormatting>
  <conditionalFormatting sqref="M4:M5 M11:M12 M15 M31:M32">
    <cfRule type="expression" dxfId="49" priority="9" stopIfTrue="1">
      <formula>selezione_costo_costr_standard_cambio_uso="x"</formula>
    </cfRule>
  </conditionalFormatting>
  <conditionalFormatting sqref="R8">
    <cfRule type="expression" dxfId="48" priority="1" stopIfTrue="1">
      <formula>selezione_costo_costr_standard_ampliamento="x"</formula>
    </cfRule>
    <cfRule type="expression" dxfId="47" priority="2" stopIfTrue="1">
      <formula>selezione_costo_costr_standard_ristrutturazione="x"</formula>
    </cfRule>
    <cfRule type="expression" dxfId="46" priority="3">
      <formula>AND(selezione_passo_descrizione_intervento="x",selezione_costo_costr_standard_sottotetti="o",selezione_calcolo_completo="o")</formula>
    </cfRule>
    <cfRule type="expression" dxfId="45" priority="4">
      <formula>AND(selezione_passo_descrizione_intervento="x",selezione_costo_costr_standard_sottotetti="x",selezione_calcolo_completo="o")</formula>
    </cfRule>
    <cfRule type="expression" dxfId="44" priority="5">
      <formula>AND(selezione_passo_descrizione_intervento="x",selezione_costo_costr_standard_ristrutturazione="o",selezione_calcolo_completo="o")</formula>
    </cfRule>
    <cfRule type="expression" dxfId="43" priority="6">
      <formula>AND(selezione_passo_descrizione_intervento="x",selezione_costo_costr_standard_ampliamento="o",selezione_calcolo_completo="o")</formula>
    </cfRule>
    <cfRule type="expression" dxfId="42" priority="7">
      <formula>AND(selezione_passo_descrizione_intervento="x",selezione_costo_costr_standard_nuova_costruzione="o",selezione_calcolo_completo="o")</formula>
    </cfRule>
    <cfRule type="expression" dxfId="41" priority="8">
      <formula>AND(selezione_passo_descrizione_intervento="x",selezione_costo_costr_standard_nuova_costruzione="x",selezione_calcolo_completo="o")</formula>
    </cfRule>
  </conditionalFormatting>
  <hyperlinks>
    <hyperlink ref="S7:S8" location="'Procedura guidata (Office 2007)'!A1" display="Torna alla procedura guidata!"/>
  </hyperlinks>
  <printOptions horizontalCentered="1"/>
  <pageMargins left="0.15748031496062992" right="0.15748031496062992" top="0.27559055118110237" bottom="0.27559055118110237" header="0.27559055118110237" footer="0.51181102362204722"/>
  <pageSetup paperSize="9" scale="94"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66"/>
    <pageSetUpPr fitToPage="1"/>
  </sheetPr>
  <dimension ref="A1:AB53"/>
  <sheetViews>
    <sheetView showGridLines="0" showZeros="0" workbookViewId="0"/>
  </sheetViews>
  <sheetFormatPr defaultColWidth="0" defaultRowHeight="12.75" customHeight="1" zeroHeight="1" x14ac:dyDescent="0.2"/>
  <cols>
    <col min="1" max="1" width="5.7109375" style="347" customWidth="1"/>
    <col min="2" max="2" width="9.5703125" style="347" customWidth="1"/>
    <col min="3" max="3" width="6.7109375" style="347" customWidth="1"/>
    <col min="4" max="5" width="10.7109375" style="347" customWidth="1"/>
    <col min="6" max="6" width="1.42578125" style="347" hidden="1" customWidth="1"/>
    <col min="7" max="7" width="5.42578125" style="347" hidden="1" customWidth="1"/>
    <col min="8" max="8" width="10.7109375" style="347" customWidth="1"/>
    <col min="9" max="9" width="5.7109375" style="347" customWidth="1"/>
    <col min="10" max="10" width="10.7109375" style="347" customWidth="1"/>
    <col min="11" max="11" width="6.7109375" style="347" customWidth="1"/>
    <col min="12" max="12" width="9" style="347" customWidth="1"/>
    <col min="13" max="13" width="3.7109375" style="347" customWidth="1"/>
    <col min="14" max="14" width="16.7109375" style="347" customWidth="1"/>
    <col min="15" max="16" width="5.7109375" style="347" customWidth="1"/>
    <col min="17" max="17" width="18.7109375" style="347" customWidth="1"/>
    <col min="18" max="18" width="6.28515625" style="347" hidden="1" customWidth="1"/>
    <col min="19" max="19" width="13.42578125" style="347" hidden="1" customWidth="1"/>
    <col min="20" max="20" width="4.42578125" style="347" hidden="1" customWidth="1"/>
    <col min="21" max="21" width="3.7109375" style="347" hidden="1" customWidth="1"/>
    <col min="22" max="22" width="8.42578125" style="347" hidden="1" customWidth="1"/>
    <col min="23" max="23" width="6.7109375" style="347" hidden="1" customWidth="1"/>
    <col min="24" max="24" width="9.42578125" style="347" hidden="1" customWidth="1"/>
    <col min="25" max="25" width="4.7109375" style="347" hidden="1" customWidth="1"/>
    <col min="26" max="26" width="3.5703125" style="347" hidden="1" customWidth="1"/>
    <col min="27" max="27" width="12.42578125" style="347" hidden="1" customWidth="1"/>
    <col min="28" max="28" width="14.28515625" style="347" hidden="1" customWidth="1"/>
    <col min="29" max="16384" width="9.140625" style="347" hidden="1"/>
  </cols>
  <sheetData>
    <row r="1" spans="1:17" s="495" customFormat="1" ht="15" customHeight="1" thickBot="1" x14ac:dyDescent="0.25">
      <c r="A1" s="570"/>
      <c r="B1" s="1053" t="s">
        <v>239</v>
      </c>
      <c r="C1" s="1053"/>
      <c r="D1" s="1053"/>
      <c r="E1" s="1053"/>
      <c r="F1" s="1053"/>
      <c r="G1" s="1053"/>
      <c r="H1" s="1053"/>
      <c r="I1" s="1053"/>
      <c r="J1" s="1053"/>
      <c r="K1" s="1053"/>
      <c r="L1" s="1053"/>
      <c r="M1" s="1053"/>
      <c r="N1" s="1053"/>
      <c r="O1" s="1053"/>
      <c r="P1" s="1053"/>
      <c r="Q1" s="1053"/>
    </row>
    <row r="2" spans="1:17" s="353" customFormat="1" ht="12.75" customHeight="1" thickBot="1" x14ac:dyDescent="0.25">
      <c r="A2" s="413"/>
      <c r="B2" s="1033" t="s">
        <v>107</v>
      </c>
      <c r="C2" s="1034"/>
      <c r="D2" s="1059" t="s">
        <v>0</v>
      </c>
      <c r="E2" s="1060"/>
      <c r="F2" s="1060"/>
      <c r="G2" s="1060"/>
      <c r="H2" s="1061"/>
      <c r="I2" s="348"/>
      <c r="J2" s="348"/>
      <c r="K2" s="348"/>
      <c r="L2" s="348"/>
      <c r="M2" s="348"/>
      <c r="N2" s="348"/>
      <c r="O2" s="348"/>
      <c r="P2" s="348"/>
      <c r="Q2" s="389"/>
    </row>
    <row r="3" spans="1:17" s="353" customFormat="1" ht="12.75" customHeight="1" thickBot="1" x14ac:dyDescent="0.25">
      <c r="A3" s="344"/>
      <c r="B3" s="1033" t="s">
        <v>123</v>
      </c>
      <c r="C3" s="1034"/>
      <c r="D3" s="1059" t="s">
        <v>304</v>
      </c>
      <c r="E3" s="1060"/>
      <c r="F3" s="1060"/>
      <c r="G3" s="1060"/>
      <c r="H3" s="1061"/>
      <c r="I3" s="348"/>
      <c r="J3" s="348"/>
      <c r="K3" s="348"/>
      <c r="L3" s="348"/>
      <c r="M3" s="348"/>
      <c r="N3" s="348"/>
      <c r="O3" s="348"/>
      <c r="P3" s="348"/>
      <c r="Q3" s="389"/>
    </row>
    <row r="4" spans="1:17" s="353" customFormat="1" ht="12.75" customHeight="1" thickBot="1" x14ac:dyDescent="0.25">
      <c r="A4" s="344"/>
      <c r="B4" s="486" t="s">
        <v>21</v>
      </c>
      <c r="C4" s="366"/>
      <c r="D4" s="344"/>
      <c r="E4" s="344"/>
      <c r="F4" s="552" t="s">
        <v>22</v>
      </c>
      <c r="G4" s="344"/>
      <c r="H4" s="344"/>
      <c r="I4" s="344"/>
      <c r="J4" s="344"/>
      <c r="K4" s="344"/>
      <c r="L4" s="344"/>
      <c r="M4" s="344"/>
      <c r="N4" s="344"/>
      <c r="O4" s="344"/>
      <c r="P4" s="344"/>
      <c r="Q4" s="344"/>
    </row>
    <row r="5" spans="1:17" ht="12.75" customHeight="1" x14ac:dyDescent="0.2">
      <c r="A5" s="344"/>
      <c r="B5" s="1050" t="s">
        <v>23</v>
      </c>
      <c r="C5" s="1051"/>
      <c r="D5" s="400" t="s">
        <v>111</v>
      </c>
      <c r="E5" s="400" t="s">
        <v>110</v>
      </c>
      <c r="F5" s="400" t="s">
        <v>24</v>
      </c>
      <c r="G5" s="430"/>
      <c r="H5" s="399" t="s">
        <v>25</v>
      </c>
      <c r="I5" s="400" t="s">
        <v>26</v>
      </c>
      <c r="J5" s="403" t="s">
        <v>27</v>
      </c>
      <c r="K5" s="344"/>
      <c r="L5" s="344"/>
      <c r="M5" s="348"/>
      <c r="N5" s="348"/>
      <c r="O5" s="348"/>
      <c r="P5" s="348"/>
      <c r="Q5" s="389"/>
    </row>
    <row r="6" spans="1:17" ht="12.75" customHeight="1" thickBot="1" x14ac:dyDescent="0.25">
      <c r="A6" s="344"/>
      <c r="B6" s="972" t="s">
        <v>233</v>
      </c>
      <c r="C6" s="973"/>
      <c r="D6" s="628"/>
      <c r="E6" s="630"/>
      <c r="F6" s="406"/>
      <c r="G6" s="407"/>
      <c r="H6" s="408">
        <f>IF(E6&gt;0,E6/$E$11,0)</f>
        <v>0</v>
      </c>
      <c r="I6" s="409" t="s">
        <v>28</v>
      </c>
      <c r="J6" s="410">
        <f>H6*I6</f>
        <v>0</v>
      </c>
      <c r="K6" s="344"/>
      <c r="L6" s="344"/>
      <c r="M6" s="348"/>
      <c r="N6" s="348"/>
      <c r="O6" s="348"/>
      <c r="P6" s="348"/>
      <c r="Q6" s="976" t="s">
        <v>293</v>
      </c>
    </row>
    <row r="7" spans="1:17" s="353" customFormat="1" ht="12.75" customHeight="1" x14ac:dyDescent="0.2">
      <c r="A7" s="344"/>
      <c r="B7" s="972" t="s">
        <v>234</v>
      </c>
      <c r="C7" s="973"/>
      <c r="D7" s="628"/>
      <c r="E7" s="630"/>
      <c r="F7" s="406"/>
      <c r="G7" s="407"/>
      <c r="H7" s="408">
        <f>IF(E7&gt;0,E7/$E$11,0)</f>
        <v>0</v>
      </c>
      <c r="I7" s="411">
        <v>5</v>
      </c>
      <c r="J7" s="410">
        <f>H7*I7</f>
        <v>0</v>
      </c>
      <c r="K7" s="344"/>
      <c r="L7" s="412"/>
      <c r="M7" s="344"/>
      <c r="N7" s="344"/>
      <c r="O7" s="1063" t="s">
        <v>5</v>
      </c>
      <c r="P7" s="1055" t="s">
        <v>0</v>
      </c>
      <c r="Q7" s="976"/>
    </row>
    <row r="8" spans="1:17" s="353" customFormat="1" ht="12.75" customHeight="1" x14ac:dyDescent="0.2">
      <c r="A8" s="344"/>
      <c r="B8" s="972" t="s">
        <v>29</v>
      </c>
      <c r="C8" s="973"/>
      <c r="D8" s="628"/>
      <c r="E8" s="630">
        <v>0</v>
      </c>
      <c r="F8" s="406"/>
      <c r="G8" s="407"/>
      <c r="H8" s="408">
        <f>IF(E8&gt;0,E8/$E$11,0)</f>
        <v>0</v>
      </c>
      <c r="I8" s="411">
        <v>15</v>
      </c>
      <c r="J8" s="410">
        <f>H8*I8</f>
        <v>0</v>
      </c>
      <c r="K8" s="344"/>
      <c r="L8" s="344"/>
      <c r="M8" s="344"/>
      <c r="N8" s="344"/>
      <c r="O8" s="1064"/>
      <c r="P8" s="1056"/>
    </row>
    <row r="9" spans="1:17" s="353" customFormat="1" ht="12.75" customHeight="1" x14ac:dyDescent="0.2">
      <c r="A9" s="344"/>
      <c r="B9" s="972" t="s">
        <v>30</v>
      </c>
      <c r="C9" s="973"/>
      <c r="D9" s="628"/>
      <c r="E9" s="630"/>
      <c r="F9" s="406"/>
      <c r="G9" s="407"/>
      <c r="H9" s="408">
        <f>IF(E9&gt;0,E9/$E$11,0)</f>
        <v>0</v>
      </c>
      <c r="I9" s="411">
        <v>30</v>
      </c>
      <c r="J9" s="410">
        <f>H9*I9</f>
        <v>0</v>
      </c>
      <c r="K9" s="344"/>
      <c r="L9" s="344"/>
      <c r="M9" s="1029" t="s">
        <v>295</v>
      </c>
      <c r="N9" s="1030"/>
      <c r="O9" s="1064"/>
      <c r="P9" s="1056"/>
    </row>
    <row r="10" spans="1:17" s="353" customFormat="1" ht="12.75" customHeight="1" thickBot="1" x14ac:dyDescent="0.25">
      <c r="A10" s="344"/>
      <c r="B10" s="985" t="s">
        <v>31</v>
      </c>
      <c r="C10" s="983"/>
      <c r="D10" s="629">
        <v>0</v>
      </c>
      <c r="E10" s="631">
        <v>0</v>
      </c>
      <c r="F10" s="415"/>
      <c r="G10" s="416"/>
      <c r="H10" s="417">
        <f>IF(E10&gt;0,E10/$E$11,0)</f>
        <v>0</v>
      </c>
      <c r="I10" s="418">
        <v>50</v>
      </c>
      <c r="J10" s="419">
        <f>H10*I10</f>
        <v>0</v>
      </c>
      <c r="K10" s="344"/>
      <c r="L10" s="344"/>
      <c r="M10" s="1029"/>
      <c r="N10" s="1030"/>
      <c r="O10" s="1064"/>
      <c r="P10" s="1056"/>
      <c r="Q10" s="345"/>
    </row>
    <row r="11" spans="1:17" s="353" customFormat="1" ht="12.75" customHeight="1" thickBot="1" x14ac:dyDescent="0.25">
      <c r="A11" s="344"/>
      <c r="B11" s="344"/>
      <c r="C11" s="344"/>
      <c r="D11" s="458" t="s">
        <v>32</v>
      </c>
      <c r="E11" s="421">
        <f>SUM(E6:E10)</f>
        <v>0</v>
      </c>
      <c r="F11" s="501"/>
      <c r="G11" s="502"/>
      <c r="H11" s="344" t="s">
        <v>33</v>
      </c>
      <c r="I11" s="344"/>
      <c r="J11" s="545" t="s">
        <v>34</v>
      </c>
      <c r="K11" s="425" t="str">
        <f>IF(SUM(J6:J10)&gt;0,SUM(J6:J10),"0")</f>
        <v>0</v>
      </c>
      <c r="L11" s="344"/>
      <c r="M11" s="1031"/>
      <c r="N11" s="1032"/>
      <c r="O11" s="1064"/>
      <c r="P11" s="1056"/>
      <c r="Q11" s="345"/>
    </row>
    <row r="12" spans="1:17" s="353" customFormat="1" ht="12.75" customHeight="1" x14ac:dyDescent="0.2">
      <c r="A12" s="344"/>
      <c r="B12" s="344"/>
      <c r="C12" s="344"/>
      <c r="D12" s="344"/>
      <c r="E12" s="503"/>
      <c r="F12" s="553"/>
      <c r="G12" s="553"/>
      <c r="H12" s="344"/>
      <c r="I12" s="344"/>
      <c r="J12" s="344"/>
      <c r="K12" s="344"/>
      <c r="L12" s="348"/>
      <c r="M12" s="1079" t="s">
        <v>91</v>
      </c>
      <c r="N12" s="1076" t="s">
        <v>90</v>
      </c>
      <c r="O12" s="1064"/>
      <c r="P12" s="1056"/>
      <c r="Q12" s="345"/>
    </row>
    <row r="13" spans="1:17" s="353" customFormat="1" ht="12.75" customHeight="1" thickBot="1" x14ac:dyDescent="0.25">
      <c r="A13" s="344"/>
      <c r="B13" s="486" t="s">
        <v>35</v>
      </c>
      <c r="C13" s="366"/>
      <c r="D13" s="344"/>
      <c r="E13" s="503"/>
      <c r="F13" s="554"/>
      <c r="G13" s="553"/>
      <c r="H13" s="486" t="s">
        <v>36</v>
      </c>
      <c r="I13" s="344"/>
      <c r="J13" s="344"/>
      <c r="K13" s="348"/>
      <c r="L13" s="429"/>
      <c r="M13" s="1080"/>
      <c r="N13" s="1077"/>
      <c r="O13" s="1064"/>
      <c r="P13" s="1056"/>
      <c r="Q13" s="345"/>
    </row>
    <row r="14" spans="1:17" s="353" customFormat="1" ht="12.75" customHeight="1" x14ac:dyDescent="0.2">
      <c r="A14" s="344"/>
      <c r="B14" s="1050" t="s">
        <v>237</v>
      </c>
      <c r="C14" s="1052"/>
      <c r="D14" s="1051"/>
      <c r="E14" s="431" t="s">
        <v>37</v>
      </c>
      <c r="F14" s="504"/>
      <c r="G14" s="505"/>
      <c r="H14" s="400" t="s">
        <v>38</v>
      </c>
      <c r="I14" s="400" t="s">
        <v>18</v>
      </c>
      <c r="J14" s="403" t="s">
        <v>27</v>
      </c>
      <c r="K14" s="348"/>
      <c r="L14" s="348"/>
      <c r="M14" s="1080"/>
      <c r="N14" s="1078"/>
      <c r="O14" s="1065"/>
      <c r="P14" s="1057"/>
      <c r="Q14" s="389"/>
    </row>
    <row r="15" spans="1:17" s="353" customFormat="1" ht="12.75" customHeight="1" x14ac:dyDescent="0.2">
      <c r="A15" s="344"/>
      <c r="B15" s="986" t="s">
        <v>230</v>
      </c>
      <c r="C15" s="987"/>
      <c r="D15" s="988"/>
      <c r="E15" s="1002"/>
      <c r="F15" s="434">
        <v>0</v>
      </c>
      <c r="G15" s="435"/>
      <c r="H15" s="436" t="s">
        <v>112</v>
      </c>
      <c r="I15" s="437" t="str">
        <f>IF($H$20&lt;=50,"X",)</f>
        <v>X</v>
      </c>
      <c r="J15" s="438" t="s">
        <v>159</v>
      </c>
      <c r="K15" s="348"/>
      <c r="L15" s="348"/>
      <c r="M15" s="1080"/>
      <c r="N15" s="439" t="s">
        <v>39</v>
      </c>
      <c r="O15" s="440">
        <v>0.06</v>
      </c>
      <c r="P15" s="441">
        <v>0.05</v>
      </c>
      <c r="Q15" s="389"/>
    </row>
    <row r="16" spans="1:17" s="353" customFormat="1" ht="12.75" customHeight="1" x14ac:dyDescent="0.2">
      <c r="A16" s="344"/>
      <c r="B16" s="989"/>
      <c r="C16" s="990"/>
      <c r="D16" s="991"/>
      <c r="E16" s="1003"/>
      <c r="F16" s="442"/>
      <c r="G16" s="435"/>
      <c r="H16" s="436" t="s">
        <v>40</v>
      </c>
      <c r="I16" s="437">
        <f>IF(AND($H$20&lt;=75,$H$20&gt;50.001),"X",)</f>
        <v>0</v>
      </c>
      <c r="J16" s="443">
        <v>10</v>
      </c>
      <c r="K16" s="348"/>
      <c r="L16" s="348"/>
      <c r="M16" s="1080"/>
      <c r="N16" s="351" t="s">
        <v>41</v>
      </c>
      <c r="O16" s="444">
        <v>0.08</v>
      </c>
      <c r="P16" s="441">
        <v>0.06</v>
      </c>
      <c r="Q16" s="469"/>
    </row>
    <row r="17" spans="1:17" s="353" customFormat="1" ht="12.75" customHeight="1" x14ac:dyDescent="0.2">
      <c r="A17" s="344"/>
      <c r="B17" s="972" t="s">
        <v>42</v>
      </c>
      <c r="C17" s="981"/>
      <c r="D17" s="973"/>
      <c r="E17" s="506"/>
      <c r="F17" s="442">
        <v>0</v>
      </c>
      <c r="G17" s="435"/>
      <c r="H17" s="436" t="s">
        <v>43</v>
      </c>
      <c r="I17" s="437">
        <f>IF(AND($H$20&lt;=100,$H$20&gt;75.1),"X",)</f>
        <v>0</v>
      </c>
      <c r="J17" s="443">
        <v>20</v>
      </c>
      <c r="K17" s="348"/>
      <c r="L17" s="348"/>
      <c r="M17" s="1080"/>
      <c r="N17" s="447" t="s">
        <v>44</v>
      </c>
      <c r="O17" s="448">
        <v>0.18</v>
      </c>
      <c r="P17" s="449">
        <v>0.1</v>
      </c>
      <c r="Q17" s="555"/>
    </row>
    <row r="18" spans="1:17" s="353" customFormat="1" ht="12.75" customHeight="1" thickBot="1" x14ac:dyDescent="0.25">
      <c r="A18" s="344"/>
      <c r="B18" s="972" t="s">
        <v>45</v>
      </c>
      <c r="C18" s="981"/>
      <c r="D18" s="973"/>
      <c r="E18" s="632"/>
      <c r="F18" s="442">
        <v>0</v>
      </c>
      <c r="G18" s="435"/>
      <c r="H18" s="451" t="s">
        <v>46</v>
      </c>
      <c r="I18" s="452">
        <f>IF($H$20&gt;100.001,"X",)</f>
        <v>0</v>
      </c>
      <c r="J18" s="453">
        <v>30</v>
      </c>
      <c r="K18" s="344"/>
      <c r="L18" s="344"/>
      <c r="M18" s="1080"/>
      <c r="N18" s="351" t="s">
        <v>47</v>
      </c>
      <c r="O18" s="448">
        <v>0.08</v>
      </c>
      <c r="P18" s="449">
        <v>0.08</v>
      </c>
      <c r="Q18" s="555"/>
    </row>
    <row r="19" spans="1:17" s="353" customFormat="1" ht="12.75" customHeight="1" thickBot="1" x14ac:dyDescent="0.25">
      <c r="A19" s="344"/>
      <c r="B19" s="985" t="s">
        <v>48</v>
      </c>
      <c r="C19" s="982"/>
      <c r="D19" s="983"/>
      <c r="E19" s="633"/>
      <c r="F19" s="454">
        <v>0</v>
      </c>
      <c r="G19" s="455"/>
      <c r="H19" s="344" t="s">
        <v>49</v>
      </c>
      <c r="I19" s="344"/>
      <c r="J19" s="545" t="s">
        <v>50</v>
      </c>
      <c r="K19" s="457" t="str">
        <f>VLOOKUP("X",$I$15:$J$18,2,FALSE)</f>
        <v>-</v>
      </c>
      <c r="L19" s="344"/>
      <c r="M19" s="1080"/>
      <c r="N19" s="351" t="s">
        <v>51</v>
      </c>
      <c r="O19" s="448">
        <v>0.08</v>
      </c>
      <c r="P19" s="449">
        <v>0.08</v>
      </c>
      <c r="Q19" s="469"/>
    </row>
    <row r="20" spans="1:17" s="353" customFormat="1" ht="12.75" customHeight="1" thickBot="1" x14ac:dyDescent="0.25">
      <c r="A20" s="344"/>
      <c r="B20" s="344"/>
      <c r="C20" s="344"/>
      <c r="D20" s="458" t="s">
        <v>52</v>
      </c>
      <c r="E20" s="421">
        <f>SUM(E15:E19)</f>
        <v>0</v>
      </c>
      <c r="F20" s="459">
        <f>SUM(F15:F19)</f>
        <v>0</v>
      </c>
      <c r="G20" s="460"/>
      <c r="H20" s="461">
        <f>IF(ISERROR(E20/E11*100),,(E20/E11*100))</f>
        <v>0</v>
      </c>
      <c r="I20" s="344" t="s">
        <v>20</v>
      </c>
      <c r="J20" s="344"/>
      <c r="K20" s="344"/>
      <c r="L20" s="344"/>
      <c r="M20" s="1081"/>
      <c r="N20" s="462" t="s">
        <v>53</v>
      </c>
      <c r="O20" s="463">
        <v>0.08</v>
      </c>
      <c r="P20" s="464">
        <v>0.08</v>
      </c>
      <c r="Q20" s="345"/>
    </row>
    <row r="21" spans="1:17" ht="12.75" customHeight="1" x14ac:dyDescent="0.2">
      <c r="A21" s="344"/>
      <c r="B21" s="344"/>
      <c r="C21" s="344"/>
      <c r="D21" s="344"/>
      <c r="E21" s="344"/>
      <c r="F21" s="344"/>
      <c r="G21" s="344"/>
      <c r="H21" s="344"/>
      <c r="I21" s="344"/>
      <c r="J21" s="344"/>
      <c r="K21" s="344"/>
      <c r="L21" s="344"/>
      <c r="M21" s="344"/>
      <c r="N21" s="344"/>
      <c r="O21" s="344"/>
      <c r="P21" s="344"/>
      <c r="Q21" s="345"/>
    </row>
    <row r="22" spans="1:17" ht="12.75" customHeight="1" thickBot="1" x14ac:dyDescent="0.25">
      <c r="A22" s="344"/>
      <c r="B22" s="344"/>
      <c r="C22" s="344"/>
      <c r="D22" s="344"/>
      <c r="E22" s="344"/>
      <c r="F22" s="465"/>
      <c r="G22" s="344"/>
      <c r="H22" s="486" t="s">
        <v>54</v>
      </c>
      <c r="I22" s="344"/>
      <c r="J22" s="344"/>
      <c r="K22" s="344"/>
      <c r="L22" s="344"/>
      <c r="M22" s="344"/>
      <c r="N22" s="344"/>
      <c r="O22" s="344"/>
      <c r="P22" s="344"/>
      <c r="Q22" s="345"/>
    </row>
    <row r="23" spans="1:17" ht="12.75" customHeight="1" thickBot="1" x14ac:dyDescent="0.25">
      <c r="A23" s="344"/>
      <c r="B23" s="1042" t="s">
        <v>55</v>
      </c>
      <c r="C23" s="1043"/>
      <c r="D23" s="1045"/>
      <c r="E23" s="508"/>
      <c r="F23" s="432"/>
      <c r="G23" s="509"/>
      <c r="H23" s="510" t="s">
        <v>56</v>
      </c>
      <c r="I23" s="400" t="s">
        <v>18</v>
      </c>
      <c r="J23" s="511" t="s">
        <v>27</v>
      </c>
      <c r="K23" s="348"/>
      <c r="L23" s="1062" t="s">
        <v>58</v>
      </c>
      <c r="M23" s="1062"/>
      <c r="N23" s="1062"/>
      <c r="O23" s="1062"/>
      <c r="P23" s="1062"/>
      <c r="Q23" s="345"/>
    </row>
    <row r="24" spans="1:17" s="346" customFormat="1" ht="12.75" customHeight="1" x14ac:dyDescent="0.2">
      <c r="A24" s="344"/>
      <c r="B24" s="972" t="s">
        <v>113</v>
      </c>
      <c r="C24" s="981"/>
      <c r="D24" s="973"/>
      <c r="E24" s="712"/>
      <c r="F24" s="512">
        <f>F11</f>
        <v>0</v>
      </c>
      <c r="G24" s="513"/>
      <c r="H24" s="436" t="s">
        <v>57</v>
      </c>
      <c r="I24" s="471" t="str">
        <f>IF(COUNTIF($L$24:$L$28,"x")=0,"X",)</f>
        <v>X</v>
      </c>
      <c r="J24" s="472" t="s">
        <v>159</v>
      </c>
      <c r="K24" s="348"/>
      <c r="L24" s="634" t="s">
        <v>59</v>
      </c>
      <c r="M24" s="1039" t="s">
        <v>60</v>
      </c>
      <c r="N24" s="1000"/>
      <c r="O24" s="1000"/>
      <c r="P24" s="1058"/>
      <c r="Q24" s="469"/>
    </row>
    <row r="25" spans="1:17" s="392" customFormat="1" ht="12.75" customHeight="1" x14ac:dyDescent="0.2">
      <c r="A25" s="344"/>
      <c r="B25" s="972" t="s">
        <v>114</v>
      </c>
      <c r="C25" s="981"/>
      <c r="D25" s="973"/>
      <c r="E25" s="712">
        <f>E20</f>
        <v>0</v>
      </c>
      <c r="F25" s="512">
        <f>F20</f>
        <v>0</v>
      </c>
      <c r="G25" s="513"/>
      <c r="H25" s="436">
        <v>1</v>
      </c>
      <c r="I25" s="471">
        <f>IF(COUNTIF($L$24:$L$28,"x")=1,"X",)</f>
        <v>0</v>
      </c>
      <c r="J25" s="443">
        <v>10</v>
      </c>
      <c r="K25" s="348"/>
      <c r="L25" s="635" t="s">
        <v>59</v>
      </c>
      <c r="M25" s="1082" t="s">
        <v>61</v>
      </c>
      <c r="N25" s="981"/>
      <c r="O25" s="981"/>
      <c r="P25" s="1083"/>
      <c r="Q25" s="344"/>
    </row>
    <row r="26" spans="1:17" s="392" customFormat="1" ht="12.75" customHeight="1" x14ac:dyDescent="0.2">
      <c r="A26" s="344"/>
      <c r="B26" s="972" t="s">
        <v>115</v>
      </c>
      <c r="C26" s="981"/>
      <c r="D26" s="973"/>
      <c r="E26" s="514">
        <f>60%*E25</f>
        <v>0</v>
      </c>
      <c r="F26" s="512">
        <f>F20*0.6</f>
        <v>0</v>
      </c>
      <c r="G26" s="513"/>
      <c r="H26" s="436">
        <v>2</v>
      </c>
      <c r="I26" s="471">
        <f>IF(COUNTIF($L$24:$L$28,"x")=2,"X",)</f>
        <v>0</v>
      </c>
      <c r="J26" s="443">
        <v>20</v>
      </c>
      <c r="K26" s="348"/>
      <c r="L26" s="635" t="s">
        <v>59</v>
      </c>
      <c r="M26" s="1084" t="s">
        <v>62</v>
      </c>
      <c r="N26" s="997"/>
      <c r="O26" s="997"/>
      <c r="P26" s="1085"/>
      <c r="Q26" s="344"/>
    </row>
    <row r="27" spans="1:17" s="392" customFormat="1" ht="12.75" customHeight="1" thickBot="1" x14ac:dyDescent="0.25">
      <c r="A27" s="344"/>
      <c r="B27" s="972" t="s">
        <v>116</v>
      </c>
      <c r="C27" s="981"/>
      <c r="D27" s="973"/>
      <c r="E27" s="515">
        <f>SUM(E24,E26)</f>
        <v>0</v>
      </c>
      <c r="F27" s="512"/>
      <c r="G27" s="516"/>
      <c r="H27" s="436">
        <v>3</v>
      </c>
      <c r="I27" s="471">
        <f>IF(COUNTIF($L$24:$L$28,"x")=3,"X",)</f>
        <v>0</v>
      </c>
      <c r="J27" s="443">
        <v>30</v>
      </c>
      <c r="K27" s="344"/>
      <c r="L27" s="635" t="s">
        <v>59</v>
      </c>
      <c r="M27" s="1082" t="s">
        <v>63</v>
      </c>
      <c r="N27" s="981"/>
      <c r="O27" s="981"/>
      <c r="P27" s="1083"/>
      <c r="Q27" s="344"/>
    </row>
    <row r="28" spans="1:17" s="392" customFormat="1" ht="12.75" customHeight="1" thickBot="1" x14ac:dyDescent="0.25">
      <c r="A28" s="344"/>
      <c r="B28" s="985"/>
      <c r="C28" s="982"/>
      <c r="D28" s="983"/>
      <c r="E28" s="557"/>
      <c r="F28" s="363">
        <f>F24+F26</f>
        <v>0</v>
      </c>
      <c r="G28" s="513"/>
      <c r="H28" s="436">
        <v>4</v>
      </c>
      <c r="I28" s="471">
        <f>IF(COUNTIF($L$24:$L$28,"x")=4,"X",)</f>
        <v>0</v>
      </c>
      <c r="J28" s="443">
        <v>40</v>
      </c>
      <c r="K28" s="344"/>
      <c r="L28" s="636" t="s">
        <v>59</v>
      </c>
      <c r="M28" s="1041" t="s">
        <v>64</v>
      </c>
      <c r="N28" s="982"/>
      <c r="O28" s="982"/>
      <c r="P28" s="1086"/>
      <c r="Q28" s="344"/>
    </row>
    <row r="29" spans="1:17" s="392" customFormat="1" ht="12.75" customHeight="1" thickBot="1" x14ac:dyDescent="0.25">
      <c r="A29" s="344"/>
      <c r="B29" s="344"/>
      <c r="C29" s="344"/>
      <c r="D29" s="344"/>
      <c r="E29" s="359"/>
      <c r="F29" s="518"/>
      <c r="G29" s="502"/>
      <c r="H29" s="519">
        <v>5</v>
      </c>
      <c r="I29" s="477">
        <f>IF(COUNTIF($L$24:$L$28,"x")=5,"X",)</f>
        <v>0</v>
      </c>
      <c r="J29" s="453">
        <v>50</v>
      </c>
      <c r="K29" s="344"/>
      <c r="Q29" s="344"/>
    </row>
    <row r="30" spans="1:17" s="392" customFormat="1" ht="12.75" customHeight="1" thickBot="1" x14ac:dyDescent="0.25">
      <c r="A30" s="344"/>
      <c r="B30" s="344"/>
      <c r="C30" s="344"/>
      <c r="D30" s="344"/>
      <c r="E30" s="344"/>
      <c r="F30" s="520"/>
      <c r="G30" s="361"/>
      <c r="H30" s="344"/>
      <c r="I30" s="344"/>
      <c r="J30" s="545" t="s">
        <v>65</v>
      </c>
      <c r="K30" s="479" t="str">
        <f>VLOOKUP("X",I24:J29,2,FALSE)</f>
        <v>-</v>
      </c>
      <c r="L30" s="480"/>
      <c r="M30" s="344"/>
      <c r="N30" s="344"/>
      <c r="O30" s="344"/>
      <c r="P30" s="348"/>
      <c r="Q30" s="555"/>
    </row>
    <row r="31" spans="1:17" s="392" customFormat="1" ht="12.75" customHeight="1" thickBot="1" x14ac:dyDescent="0.25">
      <c r="A31" s="344"/>
      <c r="B31" s="1042" t="s">
        <v>66</v>
      </c>
      <c r="C31" s="1043"/>
      <c r="D31" s="1043"/>
      <c r="E31" s="1044"/>
      <c r="F31" s="521"/>
      <c r="G31" s="361"/>
      <c r="H31" s="344"/>
      <c r="I31" s="344"/>
      <c r="J31" s="344"/>
      <c r="K31" s="345" t="s">
        <v>2</v>
      </c>
      <c r="L31" s="344" t="s">
        <v>67</v>
      </c>
      <c r="M31" s="1054" t="s">
        <v>236</v>
      </c>
      <c r="N31" s="1054"/>
      <c r="O31" s="344"/>
      <c r="P31" s="348"/>
      <c r="Q31" s="469"/>
    </row>
    <row r="32" spans="1:17" s="392" customFormat="1" ht="12.75" customHeight="1" thickBot="1" x14ac:dyDescent="0.25">
      <c r="A32" s="344"/>
      <c r="B32" s="972" t="s">
        <v>117</v>
      </c>
      <c r="C32" s="981"/>
      <c r="D32" s="973"/>
      <c r="E32" s="642"/>
      <c r="F32" s="360"/>
      <c r="G32" s="361"/>
      <c r="H32" s="344"/>
      <c r="I32" s="1035" t="s">
        <v>68</v>
      </c>
      <c r="J32" s="1037"/>
      <c r="K32" s="556">
        <f>SUM(K30,K19,K11)</f>
        <v>0</v>
      </c>
      <c r="L32" s="523" t="str">
        <f>IF(CCSF_DettContCostoCost_SommaIncrementi=0,"I",IF(ISERROR(MATCH(CCSF_DettContCostoCost_SommaIncrementi,Parametri_MinClassi,1))=TRUE,INDEX(Parametri_Classi,1,1),INDEX(Parametri_Classi,MATCH(CCSF_DettContCostoCost_SommaIncrementi,Parametri_MinClassi,1),1)))</f>
        <v>I</v>
      </c>
      <c r="M32" s="1087">
        <f>IF(CCSF_DettContCostoCost_SommaIncrementi=0,0,IF(ISERROR(MATCH(CCSF_DettContCostoCost_SommaIncrementi,Parametri_MinClassi,1))=TRUE,INDEX(Parametri_Classi,1,4),INDEX(Parametri_Classi,MATCH(CCSF_DettContCostoCost_SommaIncrementi,Parametri_MinClassi,1),4)))</f>
        <v>0</v>
      </c>
      <c r="N32" s="1088"/>
      <c r="O32" s="344"/>
      <c r="P32" s="348"/>
      <c r="Q32" s="469"/>
    </row>
    <row r="33" spans="1:17" s="392" customFormat="1" ht="12.75" customHeight="1" thickBot="1" x14ac:dyDescent="0.25">
      <c r="A33" s="344"/>
      <c r="B33" s="972" t="s">
        <v>118</v>
      </c>
      <c r="C33" s="981"/>
      <c r="D33" s="973"/>
      <c r="E33" s="642"/>
      <c r="F33" s="360"/>
      <c r="G33" s="361"/>
      <c r="H33" s="344"/>
      <c r="I33" s="344"/>
      <c r="J33" s="344"/>
      <c r="K33" s="344"/>
      <c r="L33" s="344"/>
      <c r="M33" s="344"/>
      <c r="N33" s="344"/>
      <c r="O33" s="344"/>
      <c r="P33" s="348"/>
      <c r="Q33" s="344"/>
    </row>
    <row r="34" spans="1:17" s="392" customFormat="1" ht="12.75" customHeight="1" thickBot="1" x14ac:dyDescent="0.25">
      <c r="A34" s="344"/>
      <c r="B34" s="972" t="s">
        <v>119</v>
      </c>
      <c r="C34" s="981"/>
      <c r="D34" s="973"/>
      <c r="E34" s="558">
        <f>E33*0.6</f>
        <v>0</v>
      </c>
      <c r="F34" s="360">
        <f>F33*0.6</f>
        <v>0</v>
      </c>
      <c r="G34" s="361"/>
      <c r="H34" s="344"/>
      <c r="I34" s="1035" t="s">
        <v>69</v>
      </c>
      <c r="J34" s="1036"/>
      <c r="K34" s="1037"/>
      <c r="L34" s="524">
        <f>IF(Cc_Modalitacalcolo="Calcolo costo costruzione",E27+E35,0)</f>
        <v>0</v>
      </c>
      <c r="M34" s="344" t="s">
        <v>70</v>
      </c>
      <c r="N34" s="344"/>
      <c r="O34" s="344"/>
      <c r="P34" s="348"/>
      <c r="Q34" s="344"/>
    </row>
    <row r="35" spans="1:17" s="392" customFormat="1" ht="12.75" customHeight="1" thickBot="1" x14ac:dyDescent="0.25">
      <c r="A35" s="344"/>
      <c r="B35" s="985" t="s">
        <v>120</v>
      </c>
      <c r="C35" s="982"/>
      <c r="D35" s="983"/>
      <c r="E35" s="559">
        <f>E32+E34</f>
        <v>0</v>
      </c>
      <c r="F35" s="362">
        <v>0</v>
      </c>
      <c r="G35" s="361"/>
      <c r="H35" s="344"/>
      <c r="I35" s="344" t="s">
        <v>98</v>
      </c>
      <c r="J35" s="344"/>
      <c r="K35" s="344"/>
      <c r="L35" s="525">
        <f>L34</f>
        <v>0</v>
      </c>
      <c r="M35" s="344"/>
      <c r="N35" s="344"/>
      <c r="O35" s="344"/>
      <c r="P35" s="344"/>
      <c r="Q35" s="344"/>
    </row>
    <row r="36" spans="1:17" s="392" customFormat="1" ht="12.75" customHeight="1" thickBot="1" x14ac:dyDescent="0.25">
      <c r="A36" s="344"/>
      <c r="B36" s="389"/>
      <c r="C36" s="343"/>
      <c r="D36" s="343"/>
      <c r="E36" s="343"/>
      <c r="F36" s="363">
        <f>F32+F34</f>
        <v>0</v>
      </c>
      <c r="G36" s="361"/>
      <c r="H36" s="344"/>
      <c r="I36" s="344" t="s">
        <v>77</v>
      </c>
      <c r="J36" s="344"/>
      <c r="K36" s="344"/>
      <c r="L36" s="344"/>
      <c r="M36" s="344"/>
      <c r="N36" s="344"/>
      <c r="O36" s="344"/>
      <c r="P36" s="344"/>
      <c r="Q36" s="344"/>
    </row>
    <row r="37" spans="1:17" s="392" customFormat="1" ht="12.75" customHeight="1" x14ac:dyDescent="0.2">
      <c r="A37" s="344"/>
      <c r="B37" s="344"/>
      <c r="C37" s="560"/>
      <c r="D37" s="344"/>
      <c r="E37" s="344"/>
      <c r="F37" s="364"/>
      <c r="G37" s="361"/>
      <c r="H37" s="344"/>
      <c r="I37" s="1046" t="s">
        <v>127</v>
      </c>
      <c r="J37" s="1047"/>
      <c r="K37" s="1039" t="s">
        <v>71</v>
      </c>
      <c r="L37" s="1040"/>
      <c r="M37" s="507" t="s">
        <v>245</v>
      </c>
      <c r="N37" s="1074">
        <v>0</v>
      </c>
      <c r="O37" s="1075"/>
      <c r="P37" s="344"/>
      <c r="Q37" s="344"/>
    </row>
    <row r="38" spans="1:17" s="392" customFormat="1" ht="12.75" customHeight="1" thickBot="1" x14ac:dyDescent="0.25">
      <c r="A38" s="344"/>
      <c r="B38" s="344"/>
      <c r="C38" s="560"/>
      <c r="D38" s="344"/>
      <c r="E38" s="344"/>
      <c r="F38" s="364"/>
      <c r="G38" s="361"/>
      <c r="H38" s="344"/>
      <c r="I38" s="1048"/>
      <c r="J38" s="1049"/>
      <c r="K38" s="1041" t="s">
        <v>72</v>
      </c>
      <c r="L38" s="983"/>
      <c r="M38" s="527" t="s">
        <v>246</v>
      </c>
      <c r="N38" s="1068"/>
      <c r="O38" s="1069"/>
      <c r="P38" s="344"/>
      <c r="Q38" s="344"/>
    </row>
    <row r="39" spans="1:17" s="392" customFormat="1" ht="12.75" customHeight="1" thickBot="1" x14ac:dyDescent="0.25">
      <c r="B39" s="1038" t="s">
        <v>240</v>
      </c>
      <c r="C39" s="1038"/>
      <c r="D39" s="1038"/>
      <c r="E39" s="1038"/>
      <c r="F39" s="1038"/>
      <c r="G39" s="1038"/>
      <c r="H39" s="1038"/>
      <c r="I39" s="366"/>
      <c r="J39" s="367"/>
      <c r="K39" s="344"/>
      <c r="L39" s="344"/>
      <c r="M39" s="344"/>
      <c r="N39" s="371"/>
      <c r="O39" s="372"/>
      <c r="P39" s="344"/>
      <c r="Q39" s="344"/>
    </row>
    <row r="40" spans="1:17" s="392" customFormat="1" ht="12.75" customHeight="1" thickBot="1" x14ac:dyDescent="0.25">
      <c r="B40" s="1005" t="s">
        <v>276</v>
      </c>
      <c r="C40" s="1005"/>
      <c r="D40" s="1005"/>
      <c r="E40" s="1005"/>
      <c r="F40" s="380"/>
      <c r="G40" s="361"/>
      <c r="H40" s="366"/>
      <c r="I40" s="366"/>
      <c r="J40" s="488"/>
      <c r="K40" s="488"/>
      <c r="L40" s="488"/>
      <c r="M40" s="378"/>
      <c r="N40" s="1072">
        <f>CostoBase</f>
        <v>403.83</v>
      </c>
      <c r="O40" s="1073"/>
      <c r="P40" s="344"/>
      <c r="Q40" s="344"/>
    </row>
    <row r="41" spans="1:17" s="392" customFormat="1" ht="12.75" customHeight="1" thickBot="1" x14ac:dyDescent="0.25">
      <c r="B41" s="1005" t="s">
        <v>277</v>
      </c>
      <c r="C41" s="1005"/>
      <c r="D41" s="1005"/>
      <c r="E41" s="1005"/>
      <c r="F41" s="380"/>
      <c r="G41" s="361"/>
      <c r="H41" s="490"/>
      <c r="I41" s="490"/>
      <c r="J41" s="490"/>
      <c r="K41" s="490"/>
      <c r="L41" s="490"/>
      <c r="M41" s="378"/>
      <c r="N41" s="1072">
        <f>CostoBase*(1+M32/100)</f>
        <v>403.83</v>
      </c>
      <c r="O41" s="1073"/>
      <c r="P41" s="344"/>
      <c r="Q41" s="344"/>
    </row>
    <row r="42" spans="1:17" s="392" customFormat="1" ht="12.75" customHeight="1" thickBot="1" x14ac:dyDescent="0.25">
      <c r="B42" s="1005" t="s">
        <v>129</v>
      </c>
      <c r="C42" s="1005"/>
      <c r="D42" s="1005"/>
      <c r="E42" s="1005"/>
      <c r="F42" s="380"/>
      <c r="G42" s="361"/>
      <c r="H42" s="490"/>
      <c r="I42" s="490"/>
      <c r="J42" s="490"/>
      <c r="K42" s="490"/>
      <c r="L42" s="490"/>
      <c r="M42" s="378"/>
      <c r="N42" s="1072">
        <f>L35*N41</f>
        <v>0</v>
      </c>
      <c r="O42" s="1073"/>
      <c r="P42" s="344"/>
      <c r="Q42" s="344"/>
    </row>
    <row r="43" spans="1:17" s="392" customFormat="1" ht="12.75" customHeight="1" thickBot="1" x14ac:dyDescent="0.25">
      <c r="B43" s="1038" t="s">
        <v>241</v>
      </c>
      <c r="C43" s="1038"/>
      <c r="D43" s="1038"/>
      <c r="E43" s="1038"/>
      <c r="F43" s="380"/>
      <c r="G43" s="361"/>
      <c r="H43" s="366"/>
      <c r="I43" s="366"/>
      <c r="J43" s="366"/>
      <c r="K43" s="345" t="s">
        <v>138</v>
      </c>
      <c r="L43" s="366"/>
      <c r="M43" s="366"/>
      <c r="N43" s="561"/>
      <c r="O43" s="562"/>
      <c r="P43" s="344"/>
      <c r="Q43" s="344"/>
    </row>
    <row r="44" spans="1:17" s="392" customFormat="1" ht="12.75" customHeight="1" thickBot="1" x14ac:dyDescent="0.25">
      <c r="B44" s="1005" t="s">
        <v>132</v>
      </c>
      <c r="C44" s="1005"/>
      <c r="D44" s="1005"/>
      <c r="E44" s="1005"/>
      <c r="F44" s="380"/>
      <c r="G44" s="361"/>
      <c r="H44" s="377" t="s">
        <v>73</v>
      </c>
      <c r="I44" s="366"/>
      <c r="J44" s="366"/>
      <c r="K44" s="549">
        <f>IF(ISERROR(MATCH(CCSF_DettContCostoCost_SommaIncrementi,Parametri_MinClassi,1))=TRUE,INDEX(Parametri_Classi,1,IF(DettaglioCostoCostruz_TipoIntervento="Ristrutturazione",6,5)),INDEX(Parametri_Classi,MATCH(CCSF_DettContCostoCost_SommaIncrementi,Parametri_MinClassi,1),IF(DettaglioCostoCostruz_TipoIntervento="Ristrutturazione",6,5)))</f>
        <v>5</v>
      </c>
      <c r="L44" s="563" t="s">
        <v>33</v>
      </c>
      <c r="M44" s="378"/>
      <c r="N44" s="1072">
        <f>N42*K44/100</f>
        <v>0</v>
      </c>
      <c r="O44" s="1073"/>
      <c r="P44" s="344"/>
      <c r="Q44" s="344" t="s">
        <v>74</v>
      </c>
    </row>
    <row r="45" spans="1:17" s="392" customFormat="1" ht="12.75" customHeight="1" thickBot="1" x14ac:dyDescent="0.25">
      <c r="B45" s="1005" t="s">
        <v>133</v>
      </c>
      <c r="C45" s="1005"/>
      <c r="D45" s="1005"/>
      <c r="E45" s="1005"/>
      <c r="F45" s="380"/>
      <c r="G45" s="361"/>
      <c r="H45" s="377" t="s">
        <v>75</v>
      </c>
      <c r="I45" s="366"/>
      <c r="J45" s="366"/>
      <c r="K45" s="549">
        <f>IF(ISERROR(MATCH(CCSF_DettContCostoCost_SommaIncrementi,Parametri_MinClassi,1))=TRUE,INDEX(Parametri_Classi,1,IF(DettaglioCostoCostruz_TipoIntervento="Ristrutturazione",6,5)),INDEX(Parametri_Classi,MATCH(CCSF_DettContCostoCost_SommaIncrementi,Parametri_MinClassi,1),IF(DettaglioCostoCostruz_TipoIntervento="Ristrutturazione",6,5)))</f>
        <v>5</v>
      </c>
      <c r="L45" s="564" t="s">
        <v>33</v>
      </c>
      <c r="M45" s="378"/>
      <c r="N45" s="1072">
        <f>N37*K45/100</f>
        <v>0</v>
      </c>
      <c r="O45" s="1073"/>
      <c r="P45" s="344"/>
      <c r="Q45" s="348"/>
    </row>
    <row r="46" spans="1:17" s="392" customFormat="1" ht="12.75" customHeight="1" thickBot="1" x14ac:dyDescent="0.25">
      <c r="B46" s="1005" t="s">
        <v>134</v>
      </c>
      <c r="C46" s="1005"/>
      <c r="D46" s="1005"/>
      <c r="E46" s="1005"/>
      <c r="F46" s="380"/>
      <c r="G46" s="361"/>
      <c r="H46" s="377" t="s">
        <v>76</v>
      </c>
      <c r="I46" s="366"/>
      <c r="J46" s="367"/>
      <c r="K46" s="662">
        <f>IF(DettaglioCostoCostruz_TipoIntervento="Nuova costruzione",Parametri_Aliquota_terziario_nuova_costr,Parametri_Aliquota_terziario_ristrutt)</f>
        <v>0.1</v>
      </c>
      <c r="L46" s="564" t="s">
        <v>33</v>
      </c>
      <c r="M46" s="378"/>
      <c r="N46" s="1072">
        <f>N38*K46</f>
        <v>0</v>
      </c>
      <c r="O46" s="1073"/>
      <c r="P46" s="344"/>
      <c r="Q46" s="348"/>
    </row>
    <row r="47" spans="1:17" s="353" customFormat="1" ht="12.75" customHeight="1" thickBot="1" x14ac:dyDescent="0.25">
      <c r="B47" s="1016" t="s">
        <v>135</v>
      </c>
      <c r="C47" s="1016"/>
      <c r="D47" s="1016"/>
      <c r="E47" s="1016"/>
      <c r="F47" s="361"/>
      <c r="G47" s="361"/>
      <c r="H47" s="488"/>
      <c r="I47" s="488"/>
      <c r="J47" s="488"/>
      <c r="K47" s="488"/>
      <c r="L47" s="488" t="s">
        <v>33</v>
      </c>
      <c r="M47" s="378"/>
      <c r="N47" s="1072">
        <f>N44+N45+N46</f>
        <v>0</v>
      </c>
      <c r="O47" s="1073"/>
      <c r="P47" s="344"/>
      <c r="Q47" s="344"/>
    </row>
    <row r="48" spans="1:17" s="353" customFormat="1" ht="12.75" customHeight="1" thickBot="1" x14ac:dyDescent="0.25">
      <c r="B48" s="1038" t="s">
        <v>242</v>
      </c>
      <c r="C48" s="1038"/>
      <c r="D48" s="1038"/>
      <c r="E48" s="1038"/>
      <c r="F48" s="532"/>
      <c r="G48" s="532"/>
      <c r="H48" s="366"/>
      <c r="I48" s="366"/>
      <c r="J48" s="366"/>
      <c r="K48" s="366"/>
      <c r="L48" s="366"/>
      <c r="M48" s="366"/>
      <c r="N48" s="565"/>
      <c r="O48" s="562"/>
      <c r="P48" s="344"/>
      <c r="Q48" s="348"/>
    </row>
    <row r="49" spans="1:17" s="353" customFormat="1" ht="12.75" customHeight="1" thickBot="1" x14ac:dyDescent="0.25">
      <c r="B49" s="1005" t="s">
        <v>136</v>
      </c>
      <c r="C49" s="1005"/>
      <c r="D49" s="1005"/>
      <c r="E49" s="1005"/>
      <c r="F49" s="532"/>
      <c r="G49" s="532"/>
      <c r="H49" s="488"/>
      <c r="I49" s="488"/>
      <c r="J49" s="488"/>
      <c r="K49" s="488"/>
      <c r="L49" s="488"/>
      <c r="M49" s="378"/>
      <c r="N49" s="1070">
        <v>0</v>
      </c>
      <c r="O49" s="1071"/>
      <c r="P49" s="344"/>
      <c r="Q49" s="348"/>
    </row>
    <row r="50" spans="1:17" s="353" customFormat="1" ht="12.75" customHeight="1" thickBot="1" x14ac:dyDescent="0.25">
      <c r="B50" s="1005" t="s">
        <v>137</v>
      </c>
      <c r="C50" s="1005"/>
      <c r="D50" s="1005"/>
      <c r="E50" s="1005"/>
      <c r="F50" s="532"/>
      <c r="G50" s="532"/>
      <c r="H50" s="490"/>
      <c r="I50" s="490"/>
      <c r="J50" s="490"/>
      <c r="K50" s="490"/>
      <c r="L50" s="490"/>
      <c r="M50" s="378"/>
      <c r="N50" s="1070"/>
      <c r="O50" s="1071"/>
      <c r="P50" s="344"/>
      <c r="Q50" s="348"/>
    </row>
    <row r="51" spans="1:17" s="353" customFormat="1" ht="12.75" customHeight="1" thickBot="1" x14ac:dyDescent="0.25">
      <c r="A51" s="392"/>
      <c r="B51" s="392"/>
      <c r="C51" s="377"/>
      <c r="D51" s="377"/>
      <c r="E51" s="377"/>
      <c r="F51" s="542"/>
      <c r="G51" s="542"/>
      <c r="H51" s="429"/>
      <c r="I51" s="429"/>
      <c r="J51" s="429"/>
      <c r="K51" s="348"/>
      <c r="L51" s="348"/>
      <c r="M51" s="348"/>
      <c r="N51" s="348"/>
      <c r="O51" s="348"/>
      <c r="P51" s="344"/>
      <c r="Q51" s="348"/>
    </row>
    <row r="52" spans="1:17" s="495" customFormat="1" ht="15" customHeight="1" thickBot="1" x14ac:dyDescent="0.25">
      <c r="A52" s="567"/>
      <c r="B52" s="1027" t="s">
        <v>105</v>
      </c>
      <c r="C52" s="1027"/>
      <c r="D52" s="1027"/>
      <c r="E52" s="1027"/>
      <c r="F52" s="1027"/>
      <c r="G52" s="1027"/>
      <c r="H52" s="1027"/>
      <c r="I52" s="1027"/>
      <c r="J52" s="1027"/>
      <c r="K52" s="1027"/>
      <c r="L52" s="1027"/>
      <c r="M52" s="1028"/>
      <c r="N52" s="1066">
        <f>N47-N49-N50</f>
        <v>0</v>
      </c>
      <c r="O52" s="1067"/>
      <c r="P52" s="568"/>
      <c r="Q52" s="569"/>
    </row>
    <row r="53" spans="1:17" s="566" customFormat="1" ht="12.75" customHeight="1" x14ac:dyDescent="0.2">
      <c r="A53" s="344"/>
      <c r="B53" s="344"/>
      <c r="C53" s="344"/>
      <c r="D53" s="344"/>
      <c r="E53" s="344"/>
      <c r="F53" s="369"/>
      <c r="G53" s="369"/>
      <c r="H53" s="344"/>
      <c r="I53" s="344"/>
      <c r="J53" s="344"/>
      <c r="K53" s="344"/>
      <c r="L53" s="344"/>
      <c r="M53" s="344"/>
      <c r="N53" s="344"/>
      <c r="O53" s="344"/>
      <c r="P53" s="344"/>
      <c r="Q53" s="348"/>
    </row>
  </sheetData>
  <sheetProtection password="83CC" sheet="1" objects="1" scenarios="1" formatColumns="0" formatRows="0" insertRows="0"/>
  <mergeCells count="72">
    <mergeCell ref="N47:O47"/>
    <mergeCell ref="N12:N14"/>
    <mergeCell ref="N46:O46"/>
    <mergeCell ref="M12:M20"/>
    <mergeCell ref="N40:O40"/>
    <mergeCell ref="N41:O41"/>
    <mergeCell ref="M25:P25"/>
    <mergeCell ref="M26:P26"/>
    <mergeCell ref="M27:P27"/>
    <mergeCell ref="M28:P28"/>
    <mergeCell ref="M32:N32"/>
    <mergeCell ref="N52:O52"/>
    <mergeCell ref="N38:O38"/>
    <mergeCell ref="N50:O50"/>
    <mergeCell ref="B6:C6"/>
    <mergeCell ref="B7:C7"/>
    <mergeCell ref="N49:O49"/>
    <mergeCell ref="E15:E16"/>
    <mergeCell ref="B19:D19"/>
    <mergeCell ref="B24:D24"/>
    <mergeCell ref="B25:D25"/>
    <mergeCell ref="N44:O44"/>
    <mergeCell ref="N45:O45"/>
    <mergeCell ref="N37:O37"/>
    <mergeCell ref="N42:O42"/>
    <mergeCell ref="B10:C10"/>
    <mergeCell ref="B26:D26"/>
    <mergeCell ref="B1:Q1"/>
    <mergeCell ref="M31:N31"/>
    <mergeCell ref="B8:C8"/>
    <mergeCell ref="B9:C9"/>
    <mergeCell ref="B17:D17"/>
    <mergeCell ref="B18:D18"/>
    <mergeCell ref="P7:P14"/>
    <mergeCell ref="B27:D27"/>
    <mergeCell ref="M24:P24"/>
    <mergeCell ref="D2:H2"/>
    <mergeCell ref="D3:H3"/>
    <mergeCell ref="L23:P23"/>
    <mergeCell ref="O7:O14"/>
    <mergeCell ref="Q6:Q7"/>
    <mergeCell ref="B43:E43"/>
    <mergeCell ref="B44:E44"/>
    <mergeCell ref="B23:D23"/>
    <mergeCell ref="I37:J38"/>
    <mergeCell ref="B5:C5"/>
    <mergeCell ref="B14:D14"/>
    <mergeCell ref="B15:D16"/>
    <mergeCell ref="K38:L38"/>
    <mergeCell ref="B28:D28"/>
    <mergeCell ref="B32:D32"/>
    <mergeCell ref="B33:D33"/>
    <mergeCell ref="B34:D34"/>
    <mergeCell ref="B31:E31"/>
    <mergeCell ref="B35:D35"/>
    <mergeCell ref="I32:J32"/>
    <mergeCell ref="B52:M52"/>
    <mergeCell ref="M9:N11"/>
    <mergeCell ref="B2:C2"/>
    <mergeCell ref="B3:C3"/>
    <mergeCell ref="I34:K34"/>
    <mergeCell ref="B45:E45"/>
    <mergeCell ref="B46:E46"/>
    <mergeCell ref="B47:E47"/>
    <mergeCell ref="B48:E48"/>
    <mergeCell ref="B49:E49"/>
    <mergeCell ref="B50:E50"/>
    <mergeCell ref="B39:H39"/>
    <mergeCell ref="B40:E40"/>
    <mergeCell ref="B41:E41"/>
    <mergeCell ref="B42:E42"/>
    <mergeCell ref="K37:L37"/>
  </mergeCells>
  <conditionalFormatting sqref="D2:H3 D6:E10 E15:E16 E18:E19 E24:E25 E32:E33 L24:L28 N37:O38 N49:O50">
    <cfRule type="expression" dxfId="40" priority="4" stopIfTrue="1">
      <formula>AND(selezione_passo_descrizione_intervento="x",selezione_cambio_uso="o",selezione_calcolo_completo="o")</formula>
    </cfRule>
    <cfRule type="expression" dxfId="39" priority="5" stopIfTrue="1">
      <formula>AND(selezione_passo_descrizione_intervento="x",selezione_cambio_uso="x",selezione_calcolo_completo="o")</formula>
    </cfRule>
    <cfRule type="expression" dxfId="38" priority="6" stopIfTrue="1">
      <formula>AND(selezione_passo_descrizione_intervento="x",selezione_sottotetti="o",selezione_calcolo_completo="o")</formula>
    </cfRule>
    <cfRule type="expression" dxfId="37" priority="7" stopIfTrue="1">
      <formula>AND(selezione_passo_descrizione_intervento="x",selezione_sottotetti="x",selezione_calcolo_completo="o")</formula>
    </cfRule>
    <cfRule type="expression" dxfId="36" priority="8" stopIfTrue="1">
      <formula>AND(selezione_passo_descrizione_intervento="x",selezione_ristrutturazione="o",selezione_calcolo_completo="o")</formula>
    </cfRule>
    <cfRule type="expression" dxfId="35" priority="9" stopIfTrue="1">
      <formula>AND(selezione_passo_descrizione_intervento="x",selezione_ampliamento="o",selezione_calcolo_completo="o")</formula>
    </cfRule>
    <cfRule type="expression" dxfId="34" priority="10" stopIfTrue="1">
      <formula>AND(selezione_passo_descrizione_intervento="x",selezione_ampliamento="x",selezione_calcolo_completo="o")</formula>
    </cfRule>
    <cfRule type="expression" dxfId="33" priority="11" stopIfTrue="1">
      <formula>AND(selezione_passo_descrizione_intervento="x",selezione_nuova_costruzione="o",selezione_calcolo_completo="o")</formula>
    </cfRule>
    <cfRule type="expression" dxfId="32" priority="12" stopIfTrue="1">
      <formula>AND(selezione_passo_descrizione_intervento="x",selezione_nuova_costruzione="x",selezione_calcolo_completo="o")</formula>
    </cfRule>
  </conditionalFormatting>
  <conditionalFormatting sqref="D2:H3 D6:E10 E15 E18:E19 E24:E25 E32:E33 L24:L28 N37:O38 N49:O50">
    <cfRule type="expression" dxfId="31" priority="2" stopIfTrue="1">
      <formula>AND(selezione_passo_descrizione_intervento="x",selezione_ristrutturazione="x",selezione_costo_costr_comp_ristrutturazione="x")</formula>
    </cfRule>
  </conditionalFormatting>
  <dataValidations count="2">
    <dataValidation type="list" allowBlank="1" showInputMessage="1" showErrorMessage="1" sqref="D2">
      <formula1>"Nuova costruzione,Ristrutturazione"</formula1>
    </dataValidation>
    <dataValidation type="list" allowBlank="1" showInputMessage="1" showErrorMessage="1" sqref="D3:H3">
      <formula1>"Calcolo costo costruzione,Calcolo classe"</formula1>
    </dataValidation>
  </dataValidations>
  <hyperlinks>
    <hyperlink ref="Q6:Q7" location="'Procedura guidata (Office 2007)'!A1" display="Torna alla procedura guidata!"/>
  </hyperlinks>
  <pageMargins left="0.23622047244094491" right="0.15748031496062992" top="0.27559055118110237" bottom="0.27559055118110237" header="0.27559055118110237" footer="0.51181102362204722"/>
  <pageSetup paperSize="9" scale="84"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5">
    <tabColor rgb="FFFFFF66"/>
    <pageSetUpPr fitToPage="1"/>
  </sheetPr>
  <dimension ref="A1:AC73"/>
  <sheetViews>
    <sheetView showGridLines="0" showZeros="0" workbookViewId="0"/>
  </sheetViews>
  <sheetFormatPr defaultColWidth="0" defaultRowHeight="12.75" zeroHeight="1" x14ac:dyDescent="0.2"/>
  <cols>
    <col min="1" max="1" width="5.7109375" style="347" customWidth="1"/>
    <col min="2" max="2" width="9.5703125" style="346" customWidth="1"/>
    <col min="3" max="3" width="6.7109375" style="346" customWidth="1"/>
    <col min="4" max="5" width="10.7109375" style="346" customWidth="1"/>
    <col min="6" max="6" width="1.42578125" style="347" hidden="1" customWidth="1"/>
    <col min="7" max="7" width="5.42578125" style="347" hidden="1" customWidth="1"/>
    <col min="8" max="8" width="10.7109375" style="347" customWidth="1"/>
    <col min="9" max="9" width="5.7109375" style="347" customWidth="1"/>
    <col min="10" max="10" width="10.7109375" style="347" customWidth="1"/>
    <col min="11" max="11" width="6.7109375" style="551" customWidth="1"/>
    <col min="12" max="12" width="9" style="346" customWidth="1"/>
    <col min="13" max="13" width="3.7109375" style="346" customWidth="1"/>
    <col min="14" max="14" width="16.7109375" style="347" customWidth="1"/>
    <col min="15" max="15" width="5.7109375" style="347" customWidth="1"/>
    <col min="16" max="16" width="5.7109375" style="346" customWidth="1"/>
    <col min="17" max="17" width="18.7109375" style="346" customWidth="1"/>
    <col min="18" max="18" width="6.28515625" style="347" hidden="1" customWidth="1"/>
    <col min="19" max="19" width="13.42578125" style="347" hidden="1" customWidth="1"/>
    <col min="20" max="20" width="4.42578125" style="347" hidden="1" customWidth="1"/>
    <col min="21" max="21" width="3.7109375" style="347" hidden="1" customWidth="1"/>
    <col min="22" max="22" width="8.42578125" style="347" hidden="1" customWidth="1"/>
    <col min="23" max="23" width="6.7109375" style="347" hidden="1" customWidth="1"/>
    <col min="24" max="24" width="9.42578125" style="347" hidden="1" customWidth="1"/>
    <col min="25" max="25" width="4.7109375" style="347" hidden="1" customWidth="1"/>
    <col min="26" max="26" width="3.5703125" style="347" hidden="1" customWidth="1"/>
    <col min="27" max="27" width="12.42578125" style="347" hidden="1" customWidth="1"/>
    <col min="28" max="29" width="14.28515625" style="347" hidden="1" customWidth="1"/>
    <col min="30" max="16384" width="9.140625" style="347" hidden="1"/>
  </cols>
  <sheetData>
    <row r="1" spans="2:17" s="353" customFormat="1" ht="15" customHeight="1" thickBot="1" x14ac:dyDescent="0.25">
      <c r="B1" s="1093" t="s">
        <v>249</v>
      </c>
      <c r="C1" s="1093"/>
      <c r="D1" s="1093"/>
      <c r="E1" s="1093"/>
      <c r="F1" s="1093"/>
      <c r="G1" s="1093"/>
      <c r="H1" s="1093"/>
      <c r="I1" s="1093"/>
      <c r="J1" s="1093"/>
      <c r="K1" s="1093"/>
      <c r="L1" s="1093"/>
      <c r="M1" s="1093"/>
      <c r="N1" s="1093"/>
      <c r="O1" s="1093"/>
      <c r="P1" s="1093"/>
      <c r="Q1" s="394"/>
    </row>
    <row r="2" spans="2:17" s="353" customFormat="1" ht="12.75" customHeight="1" thickBot="1" x14ac:dyDescent="0.25">
      <c r="B2" s="1033" t="s">
        <v>107</v>
      </c>
      <c r="C2" s="1034"/>
      <c r="D2" s="1099" t="s">
        <v>0</v>
      </c>
      <c r="E2" s="1100"/>
      <c r="F2" s="1100"/>
      <c r="G2" s="1100"/>
      <c r="H2" s="1101"/>
      <c r="I2" s="404"/>
      <c r="J2" s="404"/>
      <c r="K2" s="544"/>
      <c r="L2" s="404"/>
      <c r="M2" s="404"/>
      <c r="N2" s="404"/>
      <c r="O2" s="404"/>
      <c r="P2" s="404"/>
      <c r="Q2" s="405"/>
    </row>
    <row r="3" spans="2:17" s="353" customFormat="1" ht="12.75" customHeight="1" thickBot="1" x14ac:dyDescent="0.25">
      <c r="B3" s="1033" t="s">
        <v>123</v>
      </c>
      <c r="C3" s="1034"/>
      <c r="D3" s="1099" t="s">
        <v>304</v>
      </c>
      <c r="E3" s="1100"/>
      <c r="F3" s="1100"/>
      <c r="G3" s="1100"/>
      <c r="H3" s="1101"/>
      <c r="I3" s="404"/>
      <c r="J3" s="404"/>
      <c r="K3" s="544"/>
      <c r="L3" s="404"/>
      <c r="M3" s="404"/>
      <c r="N3" s="404"/>
      <c r="O3" s="404"/>
      <c r="P3" s="404"/>
      <c r="Q3" s="405"/>
    </row>
    <row r="4" spans="2:17" s="353" customFormat="1" ht="12.75" customHeight="1" thickBot="1" x14ac:dyDescent="0.25">
      <c r="B4" s="486" t="s">
        <v>21</v>
      </c>
      <c r="C4" s="366"/>
      <c r="D4" s="344"/>
      <c r="E4" s="344"/>
      <c r="F4" s="499" t="s">
        <v>22</v>
      </c>
      <c r="G4" s="369"/>
      <c r="H4" s="344"/>
      <c r="I4" s="344"/>
      <c r="J4" s="344"/>
      <c r="K4" s="545"/>
      <c r="L4" s="344"/>
      <c r="M4" s="344"/>
      <c r="N4" s="344"/>
      <c r="O4" s="344"/>
      <c r="P4" s="344"/>
      <c r="Q4" s="392"/>
    </row>
    <row r="5" spans="2:17" ht="12.75" customHeight="1" x14ac:dyDescent="0.2">
      <c r="B5" s="1050" t="s">
        <v>23</v>
      </c>
      <c r="C5" s="1051"/>
      <c r="D5" s="400" t="s">
        <v>111</v>
      </c>
      <c r="E5" s="400" t="s">
        <v>110</v>
      </c>
      <c r="F5" s="400" t="s">
        <v>24</v>
      </c>
      <c r="G5" s="430"/>
      <c r="H5" s="399" t="s">
        <v>25</v>
      </c>
      <c r="I5" s="400" t="s">
        <v>26</v>
      </c>
      <c r="J5" s="403" t="s">
        <v>27</v>
      </c>
      <c r="K5" s="545"/>
      <c r="L5" s="344"/>
      <c r="M5" s="348"/>
      <c r="N5" s="348"/>
      <c r="O5" s="348"/>
      <c r="P5" s="348"/>
      <c r="Q5" s="405"/>
    </row>
    <row r="6" spans="2:17" ht="12.75" customHeight="1" thickBot="1" x14ac:dyDescent="0.25">
      <c r="B6" s="972" t="s">
        <v>233</v>
      </c>
      <c r="C6" s="973"/>
      <c r="D6" s="628"/>
      <c r="E6" s="630"/>
      <c r="F6" s="406"/>
      <c r="G6" s="407"/>
      <c r="H6" s="408">
        <f>IF(E6&gt;0,E6/$E$11,0)</f>
        <v>0</v>
      </c>
      <c r="I6" s="409" t="s">
        <v>28</v>
      </c>
      <c r="J6" s="410">
        <f>H6*I6</f>
        <v>0</v>
      </c>
      <c r="K6" s="545"/>
      <c r="L6" s="344"/>
      <c r="M6" s="348"/>
      <c r="N6" s="348"/>
      <c r="O6" s="348"/>
      <c r="P6" s="348"/>
      <c r="Q6" s="976" t="s">
        <v>293</v>
      </c>
    </row>
    <row r="7" spans="2:17" s="353" customFormat="1" ht="12.75" customHeight="1" x14ac:dyDescent="0.2">
      <c r="B7" s="972" t="s">
        <v>234</v>
      </c>
      <c r="C7" s="973"/>
      <c r="D7" s="628"/>
      <c r="E7" s="630"/>
      <c r="F7" s="406"/>
      <c r="G7" s="407"/>
      <c r="H7" s="408">
        <f>IF(E7&gt;0,E7/$E$11,0)</f>
        <v>0</v>
      </c>
      <c r="I7" s="411">
        <v>5</v>
      </c>
      <c r="J7" s="410">
        <f>H7*I7</f>
        <v>0</v>
      </c>
      <c r="K7" s="545"/>
      <c r="L7" s="412"/>
      <c r="M7" s="344"/>
      <c r="N7" s="344"/>
      <c r="O7" s="1063" t="s">
        <v>5</v>
      </c>
      <c r="P7" s="1055" t="s">
        <v>0</v>
      </c>
      <c r="Q7" s="976"/>
    </row>
    <row r="8" spans="2:17" s="353" customFormat="1" ht="12.75" customHeight="1" x14ac:dyDescent="0.2">
      <c r="B8" s="972" t="s">
        <v>29</v>
      </c>
      <c r="C8" s="973"/>
      <c r="D8" s="628"/>
      <c r="E8" s="630"/>
      <c r="F8" s="406"/>
      <c r="G8" s="407"/>
      <c r="H8" s="408">
        <f>IF(E8&gt;0,E8/$E$11,0)</f>
        <v>0</v>
      </c>
      <c r="I8" s="411">
        <v>15</v>
      </c>
      <c r="J8" s="410">
        <f>H8*I8</f>
        <v>0</v>
      </c>
      <c r="K8" s="545"/>
      <c r="L8" s="344"/>
      <c r="M8" s="344"/>
      <c r="N8" s="344"/>
      <c r="O8" s="1064"/>
      <c r="P8" s="1056"/>
    </row>
    <row r="9" spans="2:17" s="353" customFormat="1" ht="12.75" customHeight="1" x14ac:dyDescent="0.2">
      <c r="B9" s="972" t="s">
        <v>30</v>
      </c>
      <c r="C9" s="973"/>
      <c r="D9" s="628"/>
      <c r="E9" s="630"/>
      <c r="F9" s="406"/>
      <c r="G9" s="407"/>
      <c r="H9" s="408">
        <f>IF(E9&gt;0,E9/$E$11,0)</f>
        <v>0</v>
      </c>
      <c r="I9" s="411">
        <v>30</v>
      </c>
      <c r="J9" s="410">
        <f>H9*I9</f>
        <v>0</v>
      </c>
      <c r="K9" s="545"/>
      <c r="L9" s="344"/>
      <c r="M9" s="1029" t="s">
        <v>295</v>
      </c>
      <c r="N9" s="1030"/>
      <c r="O9" s="1064"/>
      <c r="P9" s="1056"/>
    </row>
    <row r="10" spans="2:17" s="353" customFormat="1" ht="12.75" customHeight="1" thickBot="1" x14ac:dyDescent="0.25">
      <c r="B10" s="985" t="s">
        <v>31</v>
      </c>
      <c r="C10" s="983"/>
      <c r="D10" s="629"/>
      <c r="E10" s="631"/>
      <c r="F10" s="415"/>
      <c r="G10" s="416"/>
      <c r="H10" s="417">
        <f>IF(E10&gt;0,E10/$E$11,0)</f>
        <v>0</v>
      </c>
      <c r="I10" s="418">
        <v>50</v>
      </c>
      <c r="J10" s="419">
        <f>H10*I10</f>
        <v>0</v>
      </c>
      <c r="K10" s="545"/>
      <c r="L10" s="344"/>
      <c r="M10" s="1029"/>
      <c r="N10" s="1030"/>
      <c r="O10" s="1064"/>
      <c r="P10" s="1056"/>
      <c r="Q10" s="414"/>
    </row>
    <row r="11" spans="2:17" s="353" customFormat="1" ht="12.75" customHeight="1" thickBot="1" x14ac:dyDescent="0.25">
      <c r="B11" s="344"/>
      <c r="C11" s="344"/>
      <c r="D11" s="458" t="s">
        <v>32</v>
      </c>
      <c r="E11" s="500">
        <f>SUM(E6:E10)</f>
        <v>0</v>
      </c>
      <c r="F11" s="501"/>
      <c r="G11" s="502"/>
      <c r="H11" s="344" t="s">
        <v>33</v>
      </c>
      <c r="I11" s="344"/>
      <c r="J11" s="545" t="s">
        <v>34</v>
      </c>
      <c r="K11" s="425" t="str">
        <f>IF(SUM(J6:J10)&gt;0,SUM(J6:J10),"0")</f>
        <v>0</v>
      </c>
      <c r="L11" s="344"/>
      <c r="M11" s="1031"/>
      <c r="N11" s="1032"/>
      <c r="O11" s="1064"/>
      <c r="P11" s="1056"/>
      <c r="Q11" s="414"/>
    </row>
    <row r="12" spans="2:17" s="353" customFormat="1" ht="12.75" customHeight="1" x14ac:dyDescent="0.2">
      <c r="B12" s="344"/>
      <c r="C12" s="344"/>
      <c r="D12" s="344"/>
      <c r="E12" s="503"/>
      <c r="F12" s="503"/>
      <c r="G12" s="503"/>
      <c r="H12" s="344"/>
      <c r="I12" s="344"/>
      <c r="J12" s="344"/>
      <c r="K12" s="545"/>
      <c r="L12" s="348"/>
      <c r="M12" s="1079" t="s">
        <v>91</v>
      </c>
      <c r="N12" s="1076" t="s">
        <v>90</v>
      </c>
      <c r="O12" s="1064"/>
      <c r="P12" s="1056"/>
      <c r="Q12" s="414"/>
    </row>
    <row r="13" spans="2:17" s="353" customFormat="1" ht="12.75" customHeight="1" thickBot="1" x14ac:dyDescent="0.25">
      <c r="B13" s="486" t="s">
        <v>35</v>
      </c>
      <c r="C13" s="366"/>
      <c r="D13" s="344"/>
      <c r="E13" s="503"/>
      <c r="F13" s="465"/>
      <c r="G13" s="503"/>
      <c r="H13" s="486" t="s">
        <v>36</v>
      </c>
      <c r="I13" s="344"/>
      <c r="J13" s="344"/>
      <c r="K13" s="546"/>
      <c r="L13" s="429"/>
      <c r="M13" s="1080"/>
      <c r="N13" s="1077"/>
      <c r="O13" s="1064"/>
      <c r="P13" s="1056"/>
      <c r="Q13" s="414"/>
    </row>
    <row r="14" spans="2:17" s="353" customFormat="1" ht="12.75" customHeight="1" x14ac:dyDescent="0.2">
      <c r="B14" s="1050" t="s">
        <v>237</v>
      </c>
      <c r="C14" s="1052"/>
      <c r="D14" s="1051"/>
      <c r="E14" s="431" t="s">
        <v>37</v>
      </c>
      <c r="F14" s="504"/>
      <c r="G14" s="505"/>
      <c r="H14" s="400" t="s">
        <v>38</v>
      </c>
      <c r="I14" s="400" t="s">
        <v>18</v>
      </c>
      <c r="J14" s="403" t="s">
        <v>27</v>
      </c>
      <c r="K14" s="546"/>
      <c r="L14" s="348"/>
      <c r="M14" s="1080"/>
      <c r="N14" s="1078"/>
      <c r="O14" s="1065"/>
      <c r="P14" s="1057"/>
      <c r="Q14" s="405"/>
    </row>
    <row r="15" spans="2:17" s="353" customFormat="1" ht="12.75" customHeight="1" x14ac:dyDescent="0.2">
      <c r="B15" s="986" t="s">
        <v>230</v>
      </c>
      <c r="C15" s="987"/>
      <c r="D15" s="988"/>
      <c r="E15" s="1002"/>
      <c r="F15" s="434">
        <v>0</v>
      </c>
      <c r="G15" s="435"/>
      <c r="H15" s="436" t="s">
        <v>112</v>
      </c>
      <c r="I15" s="437" t="str">
        <f>IF($H$20&lt;=50,"X",)</f>
        <v>X</v>
      </c>
      <c r="J15" s="438" t="s">
        <v>159</v>
      </c>
      <c r="K15" s="546"/>
      <c r="L15" s="348"/>
      <c r="M15" s="1080"/>
      <c r="N15" s="439" t="s">
        <v>39</v>
      </c>
      <c r="O15" s="440">
        <v>0.06</v>
      </c>
      <c r="P15" s="441">
        <v>0.05</v>
      </c>
      <c r="Q15" s="405"/>
    </row>
    <row r="16" spans="2:17" s="353" customFormat="1" ht="12.75" customHeight="1" x14ac:dyDescent="0.2">
      <c r="B16" s="989"/>
      <c r="C16" s="990"/>
      <c r="D16" s="991"/>
      <c r="E16" s="1003"/>
      <c r="F16" s="442"/>
      <c r="G16" s="435"/>
      <c r="H16" s="436" t="s">
        <v>40</v>
      </c>
      <c r="I16" s="437">
        <f>IF(AND($H$20&lt;=75,$H$20&gt;50.001),"X",)</f>
        <v>0</v>
      </c>
      <c r="J16" s="443">
        <v>10</v>
      </c>
      <c r="K16" s="546"/>
      <c r="L16" s="348"/>
      <c r="M16" s="1080"/>
      <c r="N16" s="351" t="s">
        <v>41</v>
      </c>
      <c r="O16" s="444">
        <v>0.08</v>
      </c>
      <c r="P16" s="441">
        <v>0.06</v>
      </c>
      <c r="Q16" s="445"/>
    </row>
    <row r="17" spans="2:17" s="353" customFormat="1" ht="12.75" customHeight="1" x14ac:dyDescent="0.2">
      <c r="B17" s="972" t="s">
        <v>42</v>
      </c>
      <c r="C17" s="981"/>
      <c r="D17" s="973"/>
      <c r="E17" s="506"/>
      <c r="F17" s="442">
        <v>0</v>
      </c>
      <c r="G17" s="435"/>
      <c r="H17" s="436" t="s">
        <v>43</v>
      </c>
      <c r="I17" s="437">
        <f>IF(AND($H$20&lt;=100,$H$20&gt;75.1),"X",)</f>
        <v>0</v>
      </c>
      <c r="J17" s="443">
        <v>20</v>
      </c>
      <c r="K17" s="546"/>
      <c r="L17" s="348"/>
      <c r="M17" s="1080"/>
      <c r="N17" s="447" t="s">
        <v>44</v>
      </c>
      <c r="O17" s="448">
        <v>0.18</v>
      </c>
      <c r="P17" s="449">
        <v>0.1</v>
      </c>
      <c r="Q17" s="450"/>
    </row>
    <row r="18" spans="2:17" s="353" customFormat="1" ht="12.75" customHeight="1" thickBot="1" x14ac:dyDescent="0.25">
      <c r="B18" s="972" t="s">
        <v>45</v>
      </c>
      <c r="C18" s="981"/>
      <c r="D18" s="973"/>
      <c r="E18" s="632"/>
      <c r="F18" s="442">
        <v>0</v>
      </c>
      <c r="G18" s="435"/>
      <c r="H18" s="451" t="s">
        <v>46</v>
      </c>
      <c r="I18" s="452">
        <f>IF($H$20&gt;100.001,"X",)</f>
        <v>0</v>
      </c>
      <c r="J18" s="453">
        <v>30</v>
      </c>
      <c r="K18" s="545"/>
      <c r="L18" s="344"/>
      <c r="M18" s="1080"/>
      <c r="N18" s="351" t="s">
        <v>47</v>
      </c>
      <c r="O18" s="448">
        <v>0.08</v>
      </c>
      <c r="P18" s="449">
        <v>0.08</v>
      </c>
      <c r="Q18" s="450"/>
    </row>
    <row r="19" spans="2:17" s="353" customFormat="1" ht="12.75" customHeight="1" thickBot="1" x14ac:dyDescent="0.25">
      <c r="B19" s="985" t="s">
        <v>48</v>
      </c>
      <c r="C19" s="982"/>
      <c r="D19" s="983"/>
      <c r="E19" s="633"/>
      <c r="F19" s="454">
        <v>0</v>
      </c>
      <c r="G19" s="455"/>
      <c r="H19" s="344" t="s">
        <v>49</v>
      </c>
      <c r="I19" s="344"/>
      <c r="J19" s="545" t="s">
        <v>50</v>
      </c>
      <c r="K19" s="457" t="str">
        <f>VLOOKUP("X",$I$15:$J$18,2,FALSE)</f>
        <v>-</v>
      </c>
      <c r="L19" s="344"/>
      <c r="M19" s="1080"/>
      <c r="N19" s="351" t="s">
        <v>51</v>
      </c>
      <c r="O19" s="448">
        <v>0.08</v>
      </c>
      <c r="P19" s="449">
        <v>0.08</v>
      </c>
      <c r="Q19" s="445"/>
    </row>
    <row r="20" spans="2:17" s="353" customFormat="1" ht="12.75" customHeight="1" thickBot="1" x14ac:dyDescent="0.25">
      <c r="B20" s="344"/>
      <c r="C20" s="344"/>
      <c r="D20" s="458" t="s">
        <v>52</v>
      </c>
      <c r="E20" s="500">
        <f>SUM(E15:E19)</f>
        <v>0</v>
      </c>
      <c r="F20" s="459">
        <f>SUM(F15:F19)</f>
        <v>0</v>
      </c>
      <c r="G20" s="460"/>
      <c r="H20" s="461">
        <f>IF(ISERROR(E20/E11*100),,(E20/E11*100))</f>
        <v>0</v>
      </c>
      <c r="I20" s="344" t="s">
        <v>20</v>
      </c>
      <c r="J20" s="344"/>
      <c r="K20" s="545"/>
      <c r="L20" s="344"/>
      <c r="M20" s="1081"/>
      <c r="N20" s="462" t="s">
        <v>53</v>
      </c>
      <c r="O20" s="463">
        <v>0.08</v>
      </c>
      <c r="P20" s="464">
        <v>0.08</v>
      </c>
      <c r="Q20" s="414"/>
    </row>
    <row r="21" spans="2:17" ht="12.75" customHeight="1" x14ac:dyDescent="0.2">
      <c r="B21" s="344"/>
      <c r="C21" s="344"/>
      <c r="D21" s="344"/>
      <c r="E21" s="344"/>
      <c r="F21" s="344"/>
      <c r="G21" s="344"/>
      <c r="H21" s="344"/>
      <c r="I21" s="344"/>
      <c r="J21" s="344"/>
      <c r="K21" s="545"/>
      <c r="L21" s="344"/>
      <c r="M21" s="344"/>
      <c r="N21" s="344"/>
      <c r="O21" s="344"/>
      <c r="P21" s="344"/>
      <c r="Q21" s="414"/>
    </row>
    <row r="22" spans="2:17" ht="12.75" customHeight="1" thickBot="1" x14ac:dyDescent="0.25">
      <c r="B22" s="344"/>
      <c r="C22" s="344"/>
      <c r="D22" s="344"/>
      <c r="E22" s="344"/>
      <c r="F22" s="465"/>
      <c r="G22" s="344"/>
      <c r="H22" s="486" t="s">
        <v>54</v>
      </c>
      <c r="I22" s="344"/>
      <c r="J22" s="344"/>
      <c r="K22" s="545"/>
      <c r="L22" s="344"/>
      <c r="M22" s="344"/>
      <c r="N22" s="344"/>
      <c r="O22" s="344"/>
      <c r="P22" s="344"/>
      <c r="Q22" s="414"/>
    </row>
    <row r="23" spans="2:17" ht="12.75" customHeight="1" thickBot="1" x14ac:dyDescent="0.25">
      <c r="B23" s="1042" t="s">
        <v>55</v>
      </c>
      <c r="C23" s="1043"/>
      <c r="D23" s="1045"/>
      <c r="E23" s="508"/>
      <c r="F23" s="432"/>
      <c r="G23" s="509"/>
      <c r="H23" s="510" t="s">
        <v>56</v>
      </c>
      <c r="I23" s="400" t="s">
        <v>18</v>
      </c>
      <c r="J23" s="511" t="s">
        <v>27</v>
      </c>
      <c r="K23" s="546"/>
      <c r="L23" s="1094" t="s">
        <v>58</v>
      </c>
      <c r="M23" s="1094"/>
      <c r="N23" s="1094"/>
      <c r="O23" s="1094"/>
      <c r="P23" s="1094"/>
      <c r="Q23" s="414"/>
    </row>
    <row r="24" spans="2:17" ht="12.75" customHeight="1" x14ac:dyDescent="0.2">
      <c r="B24" s="972" t="s">
        <v>113</v>
      </c>
      <c r="C24" s="981"/>
      <c r="D24" s="973"/>
      <c r="E24" s="712"/>
      <c r="F24" s="512">
        <f>F11</f>
        <v>0</v>
      </c>
      <c r="G24" s="513"/>
      <c r="H24" s="436" t="s">
        <v>57</v>
      </c>
      <c r="I24" s="471" t="str">
        <f>IF(COUNTIF($L$24:$L$28,"x")=0,"X",)</f>
        <v>X</v>
      </c>
      <c r="J24" s="472" t="s">
        <v>159</v>
      </c>
      <c r="K24" s="546"/>
      <c r="L24" s="634" t="s">
        <v>59</v>
      </c>
      <c r="M24" s="1039" t="s">
        <v>60</v>
      </c>
      <c r="N24" s="1000"/>
      <c r="O24" s="1000"/>
      <c r="P24" s="1058"/>
      <c r="Q24" s="445"/>
    </row>
    <row r="25" spans="2:17" s="353" customFormat="1" ht="12.75" customHeight="1" x14ac:dyDescent="0.2">
      <c r="B25" s="972" t="s">
        <v>114</v>
      </c>
      <c r="C25" s="981"/>
      <c r="D25" s="973"/>
      <c r="E25" s="712"/>
      <c r="F25" s="512">
        <f>F20</f>
        <v>0</v>
      </c>
      <c r="G25" s="513"/>
      <c r="H25" s="436">
        <v>1</v>
      </c>
      <c r="I25" s="471">
        <f>IF(COUNTIF($L$24:$L$28,"x")=1,"X",)</f>
        <v>0</v>
      </c>
      <c r="J25" s="443">
        <v>10</v>
      </c>
      <c r="K25" s="546"/>
      <c r="L25" s="635" t="s">
        <v>59</v>
      </c>
      <c r="M25" s="1082" t="s">
        <v>61</v>
      </c>
      <c r="N25" s="981"/>
      <c r="O25" s="981"/>
      <c r="P25" s="1083"/>
      <c r="Q25" s="392"/>
    </row>
    <row r="26" spans="2:17" s="353" customFormat="1" ht="12.75" customHeight="1" x14ac:dyDescent="0.2">
      <c r="B26" s="972" t="s">
        <v>115</v>
      </c>
      <c r="C26" s="981"/>
      <c r="D26" s="973"/>
      <c r="E26" s="514">
        <f>60%*E25</f>
        <v>0</v>
      </c>
      <c r="F26" s="512">
        <f>F20*0.6</f>
        <v>0</v>
      </c>
      <c r="G26" s="513"/>
      <c r="H26" s="436">
        <v>2</v>
      </c>
      <c r="I26" s="471">
        <f>IF(COUNTIF($L$24:$L$28,"x")=2,"X",)</f>
        <v>0</v>
      </c>
      <c r="J26" s="443">
        <v>20</v>
      </c>
      <c r="K26" s="546"/>
      <c r="L26" s="635" t="s">
        <v>59</v>
      </c>
      <c r="M26" s="1084" t="s">
        <v>62</v>
      </c>
      <c r="N26" s="997"/>
      <c r="O26" s="997"/>
      <c r="P26" s="1085"/>
      <c r="Q26" s="392"/>
    </row>
    <row r="27" spans="2:17" s="353" customFormat="1" ht="12.75" customHeight="1" thickBot="1" x14ac:dyDescent="0.25">
      <c r="B27" s="972" t="s">
        <v>116</v>
      </c>
      <c r="C27" s="981"/>
      <c r="D27" s="973"/>
      <c r="E27" s="515">
        <f>SUM(E24,E26)</f>
        <v>0</v>
      </c>
      <c r="F27" s="512"/>
      <c r="G27" s="516"/>
      <c r="H27" s="436">
        <v>3</v>
      </c>
      <c r="I27" s="471">
        <f>IF(COUNTIF($L$24:$L$28,"x")=3,"X",)</f>
        <v>0</v>
      </c>
      <c r="J27" s="443">
        <v>30</v>
      </c>
      <c r="K27" s="545"/>
      <c r="L27" s="635" t="s">
        <v>59</v>
      </c>
      <c r="M27" s="1082" t="s">
        <v>63</v>
      </c>
      <c r="N27" s="981"/>
      <c r="O27" s="981"/>
      <c r="P27" s="1083"/>
      <c r="Q27" s="392"/>
    </row>
    <row r="28" spans="2:17" s="353" customFormat="1" ht="12.75" customHeight="1" thickBot="1" x14ac:dyDescent="0.25">
      <c r="B28" s="985"/>
      <c r="C28" s="982"/>
      <c r="D28" s="983"/>
      <c r="E28" s="517"/>
      <c r="F28" s="363">
        <f>F24+F26</f>
        <v>0</v>
      </c>
      <c r="G28" s="513"/>
      <c r="H28" s="436">
        <v>4</v>
      </c>
      <c r="I28" s="471">
        <f>IF(COUNTIF($L$24:$L$28,"x")=4,"X",)</f>
        <v>0</v>
      </c>
      <c r="J28" s="443">
        <v>40</v>
      </c>
      <c r="K28" s="545"/>
      <c r="L28" s="636" t="s">
        <v>59</v>
      </c>
      <c r="M28" s="1041" t="s">
        <v>64</v>
      </c>
      <c r="N28" s="982"/>
      <c r="O28" s="982"/>
      <c r="P28" s="1086"/>
      <c r="Q28" s="392"/>
    </row>
    <row r="29" spans="2:17" s="353" customFormat="1" ht="12.75" customHeight="1" thickBot="1" x14ac:dyDescent="0.25">
      <c r="B29" s="344"/>
      <c r="C29" s="344"/>
      <c r="D29" s="344"/>
      <c r="E29" s="359"/>
      <c r="F29" s="518"/>
      <c r="G29" s="502"/>
      <c r="H29" s="519">
        <v>5</v>
      </c>
      <c r="I29" s="477">
        <f>IF(COUNTIF($L$24:$L$28,"x")=5,"X",)</f>
        <v>0</v>
      </c>
      <c r="J29" s="453">
        <v>50</v>
      </c>
      <c r="K29" s="545"/>
      <c r="L29" s="392"/>
      <c r="M29" s="392"/>
      <c r="N29" s="392"/>
      <c r="O29" s="392"/>
      <c r="P29" s="392"/>
      <c r="Q29" s="392"/>
    </row>
    <row r="30" spans="2:17" s="353" customFormat="1" ht="12.75" customHeight="1" thickBot="1" x14ac:dyDescent="0.25">
      <c r="B30" s="344"/>
      <c r="C30" s="344"/>
      <c r="D30" s="344"/>
      <c r="E30" s="344"/>
      <c r="F30" s="520"/>
      <c r="G30" s="361"/>
      <c r="H30" s="344"/>
      <c r="I30" s="344"/>
      <c r="J30" s="545" t="s">
        <v>65</v>
      </c>
      <c r="K30" s="479" t="str">
        <f>VLOOKUP("X",I24:J29,2,FALSE)</f>
        <v>-</v>
      </c>
      <c r="L30" s="480"/>
      <c r="M30" s="344"/>
      <c r="N30" s="344"/>
      <c r="O30" s="344"/>
      <c r="P30" s="348"/>
      <c r="Q30" s="450"/>
    </row>
    <row r="31" spans="2:17" s="353" customFormat="1" ht="12.75" customHeight="1" thickBot="1" x14ac:dyDescent="0.25">
      <c r="B31" s="1042" t="s">
        <v>66</v>
      </c>
      <c r="C31" s="1043"/>
      <c r="D31" s="1043"/>
      <c r="E31" s="1044"/>
      <c r="F31" s="521"/>
      <c r="G31" s="361"/>
      <c r="H31" s="344"/>
      <c r="I31" s="344"/>
      <c r="J31" s="344"/>
      <c r="K31" s="345" t="s">
        <v>2</v>
      </c>
      <c r="L31" s="344" t="s">
        <v>67</v>
      </c>
      <c r="M31" s="1054" t="s">
        <v>236</v>
      </c>
      <c r="N31" s="1054"/>
      <c r="O31" s="344"/>
      <c r="P31" s="348"/>
      <c r="Q31" s="445"/>
    </row>
    <row r="32" spans="2:17" s="353" customFormat="1" ht="12.75" customHeight="1" thickBot="1" x14ac:dyDescent="0.25">
      <c r="B32" s="972" t="s">
        <v>117</v>
      </c>
      <c r="C32" s="981"/>
      <c r="D32" s="973"/>
      <c r="E32" s="643"/>
      <c r="F32" s="360"/>
      <c r="G32" s="361"/>
      <c r="H32" s="344"/>
      <c r="I32" s="1035" t="s">
        <v>68</v>
      </c>
      <c r="J32" s="1037"/>
      <c r="K32" s="457">
        <f>SUM(K30,K19,K11)</f>
        <v>0</v>
      </c>
      <c r="L32" s="522" t="str">
        <f>IF(DettContCostoCost_SommaIncrementi=0,"I",IF(ISERROR(MATCH(DettContCostoCost_SommaIncrementi,Parametri_MinClassi,1))=TRUE,INDEX(Parametri_Classi,1,1),INDEX(Parametri_Classi,MATCH(DettContCostoCost_SommaIncrementi,Parametri_MinClassi,1),1)))</f>
        <v>I</v>
      </c>
      <c r="M32" s="1087">
        <f>IF(DettContCostoCost_SommaIncrementi=0,0,IF(ISERROR(MATCH(DettContCostoCost_SommaIncrementi,Parametri_MinClassi,1))=TRUE,INDEX(Parametri_Classi,1,4),INDEX(Parametri_Classi,MATCH(DettContCostoCost_SommaIncrementi,Parametri_MinClassi,1),4)))</f>
        <v>0</v>
      </c>
      <c r="N32" s="1088"/>
      <c r="O32" s="344"/>
      <c r="P32" s="348"/>
      <c r="Q32" s="445"/>
    </row>
    <row r="33" spans="2:17" s="353" customFormat="1" ht="12.75" customHeight="1" thickBot="1" x14ac:dyDescent="0.25">
      <c r="B33" s="972" t="s">
        <v>118</v>
      </c>
      <c r="C33" s="981"/>
      <c r="D33" s="973"/>
      <c r="E33" s="643"/>
      <c r="F33" s="360"/>
      <c r="G33" s="361"/>
      <c r="H33" s="344"/>
      <c r="I33" s="344"/>
      <c r="J33" s="344"/>
      <c r="K33" s="545"/>
      <c r="L33" s="344"/>
      <c r="M33" s="344"/>
      <c r="N33" s="344"/>
      <c r="O33" s="344"/>
      <c r="P33" s="348"/>
      <c r="Q33" s="392"/>
    </row>
    <row r="34" spans="2:17" s="353" customFormat="1" ht="12.75" customHeight="1" thickBot="1" x14ac:dyDescent="0.25">
      <c r="B34" s="972" t="s">
        <v>119</v>
      </c>
      <c r="C34" s="981"/>
      <c r="D34" s="973"/>
      <c r="E34" s="354">
        <f>E33*0.6</f>
        <v>0</v>
      </c>
      <c r="F34" s="360">
        <f>F33*0.6</f>
        <v>0</v>
      </c>
      <c r="G34" s="361"/>
      <c r="H34" s="344"/>
      <c r="I34" s="1035" t="s">
        <v>69</v>
      </c>
      <c r="J34" s="1036"/>
      <c r="K34" s="1037"/>
      <c r="L34" s="524">
        <f>IF(Cc_Modalitacalcolo="Calcolo costo costruzione",E27+E35,0)</f>
        <v>0</v>
      </c>
      <c r="M34" s="344" t="s">
        <v>70</v>
      </c>
      <c r="N34" s="344"/>
      <c r="O34" s="344"/>
      <c r="P34" s="348"/>
      <c r="Q34" s="392"/>
    </row>
    <row r="35" spans="2:17" s="353" customFormat="1" ht="12.75" customHeight="1" thickBot="1" x14ac:dyDescent="0.25">
      <c r="B35" s="985" t="s">
        <v>120</v>
      </c>
      <c r="C35" s="982"/>
      <c r="D35" s="983"/>
      <c r="E35" s="357">
        <f>E32+E34</f>
        <v>0</v>
      </c>
      <c r="F35" s="362">
        <v>0</v>
      </c>
      <c r="G35" s="361"/>
      <c r="H35" s="344"/>
      <c r="I35" s="1095" t="s">
        <v>98</v>
      </c>
      <c r="J35" s="1095"/>
      <c r="K35" s="1096"/>
      <c r="L35" s="525">
        <f>L34</f>
        <v>0</v>
      </c>
      <c r="M35" s="344"/>
      <c r="N35" s="344"/>
      <c r="O35" s="344"/>
      <c r="P35" s="344"/>
      <c r="Q35" s="392"/>
    </row>
    <row r="36" spans="2:17" s="353" customFormat="1" ht="12.75" customHeight="1" thickBot="1" x14ac:dyDescent="0.25">
      <c r="B36" s="389"/>
      <c r="C36" s="343"/>
      <c r="D36" s="343"/>
      <c r="E36" s="343"/>
      <c r="F36" s="459">
        <f>F32+F34</f>
        <v>0</v>
      </c>
      <c r="G36" s="367"/>
      <c r="H36" s="344"/>
      <c r="I36" s="344" t="s">
        <v>77</v>
      </c>
      <c r="J36" s="344"/>
      <c r="K36" s="545"/>
      <c r="L36" s="344"/>
      <c r="M36" s="344"/>
      <c r="N36" s="344"/>
      <c r="O36" s="344"/>
      <c r="P36" s="344"/>
      <c r="Q36" s="392"/>
    </row>
    <row r="37" spans="2:17" s="353" customFormat="1" ht="12.75" customHeight="1" x14ac:dyDescent="0.2">
      <c r="B37" s="344"/>
      <c r="C37" s="344"/>
      <c r="D37" s="344"/>
      <c r="E37" s="344"/>
      <c r="F37" s="526"/>
      <c r="G37" s="367"/>
      <c r="H37" s="344"/>
      <c r="I37" s="1046" t="s">
        <v>127</v>
      </c>
      <c r="J37" s="1047"/>
      <c r="K37" s="1039" t="s">
        <v>71</v>
      </c>
      <c r="L37" s="1040"/>
      <c r="M37" s="507" t="s">
        <v>245</v>
      </c>
      <c r="N37" s="1097"/>
      <c r="O37" s="1098"/>
      <c r="P37" s="344"/>
      <c r="Q37" s="392"/>
    </row>
    <row r="38" spans="2:17" s="353" customFormat="1" ht="12.75" customHeight="1" thickBot="1" x14ac:dyDescent="0.25">
      <c r="B38" s="344"/>
      <c r="C38" s="344"/>
      <c r="D38" s="344"/>
      <c r="E38" s="344"/>
      <c r="F38" s="526"/>
      <c r="G38" s="367"/>
      <c r="H38" s="344"/>
      <c r="I38" s="1048"/>
      <c r="J38" s="1049"/>
      <c r="K38" s="1041" t="s">
        <v>72</v>
      </c>
      <c r="L38" s="983"/>
      <c r="M38" s="527" t="s">
        <v>246</v>
      </c>
      <c r="N38" s="1091">
        <v>0</v>
      </c>
      <c r="O38" s="1092"/>
      <c r="P38" s="344"/>
      <c r="Q38" s="392"/>
    </row>
    <row r="39" spans="2:17" s="353" customFormat="1" ht="12.75" customHeight="1" thickBot="1" x14ac:dyDescent="0.25">
      <c r="B39" s="1038" t="s">
        <v>240</v>
      </c>
      <c r="C39" s="1038"/>
      <c r="D39" s="1038"/>
      <c r="E39" s="1038"/>
      <c r="F39" s="1038"/>
      <c r="G39" s="1038"/>
      <c r="H39" s="1038"/>
      <c r="I39" s="366"/>
      <c r="J39" s="367"/>
      <c r="K39" s="545"/>
      <c r="L39" s="344"/>
      <c r="M39" s="344"/>
      <c r="N39" s="528"/>
      <c r="O39" s="529"/>
      <c r="P39" s="344"/>
      <c r="Q39" s="392"/>
    </row>
    <row r="40" spans="2:17" s="392" customFormat="1" ht="12.75" customHeight="1" thickBot="1" x14ac:dyDescent="0.25">
      <c r="B40" s="1005" t="s">
        <v>276</v>
      </c>
      <c r="C40" s="1005"/>
      <c r="D40" s="1005"/>
      <c r="E40" s="1005"/>
      <c r="F40" s="365"/>
      <c r="G40" s="530"/>
      <c r="H40" s="344"/>
      <c r="I40" s="344"/>
      <c r="J40" s="488"/>
      <c r="K40" s="547"/>
      <c r="L40" s="488"/>
      <c r="M40" s="378"/>
      <c r="N40" s="1089">
        <f>CostoBase</f>
        <v>403.83</v>
      </c>
      <c r="O40" s="1090"/>
      <c r="P40" s="344"/>
    </row>
    <row r="41" spans="2:17" s="392" customFormat="1" ht="12.75" customHeight="1" thickBot="1" x14ac:dyDescent="0.25">
      <c r="B41" s="1005" t="s">
        <v>277</v>
      </c>
      <c r="C41" s="1005"/>
      <c r="D41" s="1005"/>
      <c r="E41" s="1005"/>
      <c r="F41" s="365"/>
      <c r="G41" s="530"/>
      <c r="H41" s="356"/>
      <c r="I41" s="356"/>
      <c r="J41" s="490"/>
      <c r="K41" s="548"/>
      <c r="L41" s="490"/>
      <c r="M41" s="378"/>
      <c r="N41" s="1089">
        <f>CostoBase*(1+M32/100)</f>
        <v>403.83</v>
      </c>
      <c r="O41" s="1090"/>
      <c r="P41" s="344"/>
    </row>
    <row r="42" spans="2:17" s="392" customFormat="1" ht="12.75" customHeight="1" thickBot="1" x14ac:dyDescent="0.25">
      <c r="B42" s="1005" t="s">
        <v>129</v>
      </c>
      <c r="C42" s="1005"/>
      <c r="D42" s="1005"/>
      <c r="E42" s="1005"/>
      <c r="F42" s="365"/>
      <c r="G42" s="530"/>
      <c r="H42" s="356"/>
      <c r="I42" s="356"/>
      <c r="J42" s="490"/>
      <c r="K42" s="548"/>
      <c r="L42" s="490"/>
      <c r="M42" s="378"/>
      <c r="N42" s="1089">
        <f>(L35*N41)</f>
        <v>0</v>
      </c>
      <c r="O42" s="1090"/>
      <c r="P42" s="344"/>
    </row>
    <row r="43" spans="2:17" s="392" customFormat="1" ht="12.75" customHeight="1" thickBot="1" x14ac:dyDescent="0.25">
      <c r="B43" s="1038" t="s">
        <v>241</v>
      </c>
      <c r="C43" s="1038"/>
      <c r="D43" s="1038"/>
      <c r="E43" s="1038"/>
      <c r="F43" s="365"/>
      <c r="G43" s="530"/>
      <c r="H43" s="344"/>
      <c r="I43" s="344"/>
      <c r="J43" s="366"/>
      <c r="K43" s="345" t="s">
        <v>138</v>
      </c>
      <c r="L43" s="366"/>
      <c r="M43" s="366"/>
      <c r="N43" s="531"/>
      <c r="O43" s="529"/>
      <c r="P43" s="344"/>
    </row>
    <row r="44" spans="2:17" s="353" customFormat="1" ht="12.75" customHeight="1" thickBot="1" x14ac:dyDescent="0.25">
      <c r="B44" s="1005" t="s">
        <v>132</v>
      </c>
      <c r="C44" s="1005"/>
      <c r="D44" s="1005"/>
      <c r="E44" s="1005"/>
      <c r="F44" s="532"/>
      <c r="G44" s="530"/>
      <c r="H44" s="377" t="s">
        <v>73</v>
      </c>
      <c r="I44" s="377"/>
      <c r="J44" s="366"/>
      <c r="K44" s="549">
        <f>IF(ISERROR(MATCH(DettContCostoCost_SommaIncrementi,Parametri_MinClassi,1))=TRUE,INDEX(Parametri_Classi,1,IF(DettaglioCostoCostruz_TipoIntervento="Ristrutturazione",6,5)),INDEX(Parametri_Classi,MATCH(DettContCostoCost_SommaIncrementi,Parametri_MinClassi,1),IF(DettaglioCostoCostruz_TipoIntervento="Ristrutturazione",6,5)))</f>
        <v>5</v>
      </c>
      <c r="L44" s="367" t="s">
        <v>33</v>
      </c>
      <c r="M44" s="378"/>
      <c r="N44" s="1089">
        <f>N42*K44/100</f>
        <v>0</v>
      </c>
      <c r="O44" s="1090"/>
      <c r="P44" s="344"/>
      <c r="Q44" s="392" t="s">
        <v>74</v>
      </c>
    </row>
    <row r="45" spans="2:17" s="353" customFormat="1" ht="12.75" customHeight="1" thickBot="1" x14ac:dyDescent="0.25">
      <c r="B45" s="1005" t="s">
        <v>133</v>
      </c>
      <c r="C45" s="1005"/>
      <c r="D45" s="1005"/>
      <c r="E45" s="1005"/>
      <c r="F45" s="532"/>
      <c r="G45" s="530"/>
      <c r="H45" s="377" t="s">
        <v>75</v>
      </c>
      <c r="I45" s="533"/>
      <c r="J45" s="534"/>
      <c r="K45" s="549">
        <f>IF(ISERROR(MATCH(DettContCostoCost_SommaIncrementi,Parametri_MinClassi,1))=TRUE,INDEX(Parametri_Classi,1,IF(DettaglioCostoCostruz_TipoIntervento="Ristrutturazione",6,5)),INDEX(Parametri_Classi,MATCH(DettContCostoCost_SommaIncrementi,Parametri_MinClassi,1),IF(DettaglioCostoCostruz_TipoIntervento="Ristrutturazione",6,5)))</f>
        <v>5</v>
      </c>
      <c r="L45" s="490" t="s">
        <v>33</v>
      </c>
      <c r="M45" s="378"/>
      <c r="N45" s="1089">
        <f>N37*K45/100</f>
        <v>0</v>
      </c>
      <c r="O45" s="1090"/>
      <c r="P45" s="344"/>
      <c r="Q45" s="404"/>
    </row>
    <row r="46" spans="2:17" s="353" customFormat="1" ht="12.75" customHeight="1" thickBot="1" x14ac:dyDescent="0.25">
      <c r="B46" s="1005" t="s">
        <v>134</v>
      </c>
      <c r="C46" s="1005"/>
      <c r="D46" s="1005"/>
      <c r="E46" s="1005"/>
      <c r="F46" s="532"/>
      <c r="G46" s="530"/>
      <c r="H46" s="386" t="s">
        <v>76</v>
      </c>
      <c r="I46" s="386"/>
      <c r="J46" s="534"/>
      <c r="K46" s="662">
        <f>IF(DettaglioCostoCostruz_TipoIntervento="Nuova costruzione",Parametri_Aliquota_terziario_nuova_costr,Parametri_Aliquota_terziario_ristrutt)</f>
        <v>0.1</v>
      </c>
      <c r="L46" s="490" t="s">
        <v>33</v>
      </c>
      <c r="M46" s="378"/>
      <c r="N46" s="1089">
        <f>N38*K46</f>
        <v>0</v>
      </c>
      <c r="O46" s="1090"/>
      <c r="P46" s="344"/>
      <c r="Q46" s="404"/>
    </row>
    <row r="47" spans="2:17" s="540" customFormat="1" ht="12.75" customHeight="1" thickBot="1" x14ac:dyDescent="0.25">
      <c r="B47" s="1016" t="s">
        <v>135</v>
      </c>
      <c r="C47" s="1016"/>
      <c r="D47" s="1016"/>
      <c r="E47" s="1016"/>
      <c r="F47" s="535"/>
      <c r="G47" s="535"/>
      <c r="H47" s="536"/>
      <c r="I47" s="536"/>
      <c r="J47" s="536"/>
      <c r="K47" s="550"/>
      <c r="L47" s="536" t="s">
        <v>33</v>
      </c>
      <c r="M47" s="537"/>
      <c r="N47" s="1089">
        <f>N44+N45+N46</f>
        <v>0</v>
      </c>
      <c r="O47" s="1090"/>
      <c r="P47" s="538"/>
      <c r="Q47" s="539"/>
    </row>
    <row r="48" spans="2:17" s="353" customFormat="1" ht="12.75" customHeight="1" thickBot="1" x14ac:dyDescent="0.25">
      <c r="B48" s="1038" t="s">
        <v>242</v>
      </c>
      <c r="C48" s="1038"/>
      <c r="D48" s="1038"/>
      <c r="E48" s="1038"/>
      <c r="F48" s="532"/>
      <c r="G48" s="532"/>
      <c r="H48" s="366"/>
      <c r="I48" s="366"/>
      <c r="J48" s="366"/>
      <c r="K48" s="456"/>
      <c r="L48" s="366"/>
      <c r="M48" s="366"/>
      <c r="N48" s="528"/>
      <c r="O48" s="529"/>
      <c r="P48" s="344"/>
      <c r="Q48" s="404"/>
    </row>
    <row r="49" spans="2:17" s="353" customFormat="1" ht="12.75" customHeight="1" thickBot="1" x14ac:dyDescent="0.25">
      <c r="B49" s="1005" t="s">
        <v>136</v>
      </c>
      <c r="C49" s="1005"/>
      <c r="D49" s="1005"/>
      <c r="E49" s="1005"/>
      <c r="F49" s="369"/>
      <c r="G49" s="369"/>
      <c r="H49" s="541"/>
      <c r="I49" s="541"/>
      <c r="J49" s="488"/>
      <c r="K49" s="547"/>
      <c r="L49" s="488"/>
      <c r="M49" s="378"/>
      <c r="N49" s="1070"/>
      <c r="O49" s="1071"/>
      <c r="P49" s="344"/>
      <c r="Q49" s="404"/>
    </row>
    <row r="50" spans="2:17" s="353" customFormat="1" ht="12.75" customHeight="1" thickBot="1" x14ac:dyDescent="0.25">
      <c r="B50" s="1005" t="s">
        <v>137</v>
      </c>
      <c r="C50" s="1005"/>
      <c r="D50" s="1005"/>
      <c r="E50" s="1005"/>
      <c r="F50" s="369"/>
      <c r="G50" s="369"/>
      <c r="H50" s="356"/>
      <c r="I50" s="356"/>
      <c r="J50" s="490"/>
      <c r="K50" s="548"/>
      <c r="L50" s="490"/>
      <c r="M50" s="378"/>
      <c r="N50" s="1070"/>
      <c r="O50" s="1071"/>
      <c r="P50" s="344"/>
      <c r="Q50" s="404"/>
    </row>
    <row r="51" spans="2:17" s="353" customFormat="1" ht="12.75" customHeight="1" thickBot="1" x14ac:dyDescent="0.25">
      <c r="B51" s="388"/>
      <c r="C51" s="388"/>
      <c r="D51" s="388"/>
      <c r="E51" s="388"/>
      <c r="F51" s="542"/>
      <c r="G51" s="542"/>
      <c r="H51" s="429"/>
      <c r="I51" s="429"/>
      <c r="J51" s="429"/>
      <c r="K51" s="546"/>
      <c r="L51" s="348"/>
      <c r="M51" s="348"/>
      <c r="N51" s="543"/>
      <c r="O51" s="543"/>
      <c r="P51" s="344"/>
      <c r="Q51" s="404"/>
    </row>
    <row r="52" spans="2:17" s="353" customFormat="1" ht="15" customHeight="1" thickBot="1" x14ac:dyDescent="0.25">
      <c r="B52" s="1027" t="s">
        <v>105</v>
      </c>
      <c r="C52" s="1027"/>
      <c r="D52" s="1027"/>
      <c r="E52" s="1027"/>
      <c r="F52" s="1027"/>
      <c r="G52" s="1027"/>
      <c r="H52" s="1027"/>
      <c r="I52" s="1027"/>
      <c r="J52" s="1027"/>
      <c r="K52" s="1027"/>
      <c r="L52" s="1027"/>
      <c r="M52" s="1028"/>
      <c r="N52" s="1066">
        <f>(N47-N49-N50)</f>
        <v>0</v>
      </c>
      <c r="O52" s="1067"/>
      <c r="P52" s="344"/>
      <c r="Q52" s="404"/>
    </row>
    <row r="53" spans="2:17" s="353" customFormat="1" ht="12" customHeight="1" x14ac:dyDescent="0.2">
      <c r="B53" s="344"/>
      <c r="C53" s="344"/>
      <c r="D53" s="344"/>
      <c r="E53" s="344"/>
      <c r="F53" s="369"/>
      <c r="G53" s="369"/>
      <c r="H53" s="344"/>
      <c r="I53" s="344"/>
      <c r="J53" s="344"/>
      <c r="K53" s="545"/>
      <c r="L53" s="344"/>
      <c r="M53" s="344"/>
      <c r="N53" s="344"/>
      <c r="O53" s="344"/>
      <c r="P53" s="344"/>
      <c r="Q53" s="404"/>
    </row>
    <row r="54" spans="2:17" hidden="1" x14ac:dyDescent="0.2"/>
    <row r="55" spans="2:17" hidden="1" x14ac:dyDescent="0.2"/>
    <row r="56" spans="2:17" hidden="1" x14ac:dyDescent="0.2"/>
    <row r="57" spans="2:17" hidden="1" x14ac:dyDescent="0.2"/>
    <row r="58" spans="2:17" hidden="1" x14ac:dyDescent="0.2"/>
    <row r="59" spans="2:17" hidden="1" x14ac:dyDescent="0.2"/>
    <row r="60" spans="2:17" hidden="1" x14ac:dyDescent="0.2"/>
    <row r="61" spans="2:17" hidden="1" x14ac:dyDescent="0.2"/>
    <row r="62" spans="2:17" hidden="1" x14ac:dyDescent="0.2"/>
    <row r="63" spans="2:17" hidden="1" x14ac:dyDescent="0.2"/>
    <row r="64" spans="2: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sheetData>
  <sheetProtection password="83CC" sheet="1" objects="1" scenarios="1" formatColumns="0" formatRows="0" insertRows="0"/>
  <mergeCells count="73">
    <mergeCell ref="M12:M20"/>
    <mergeCell ref="D2:H2"/>
    <mergeCell ref="B6:C6"/>
    <mergeCell ref="D3:H3"/>
    <mergeCell ref="B2:C2"/>
    <mergeCell ref="B3:C3"/>
    <mergeCell ref="B9:C9"/>
    <mergeCell ref="B5:C5"/>
    <mergeCell ref="B8:C8"/>
    <mergeCell ref="B7:C7"/>
    <mergeCell ref="N52:O52"/>
    <mergeCell ref="I32:J32"/>
    <mergeCell ref="I35:K35"/>
    <mergeCell ref="N37:O37"/>
    <mergeCell ref="M31:N31"/>
    <mergeCell ref="B52:M52"/>
    <mergeCell ref="B41:E41"/>
    <mergeCell ref="N50:O50"/>
    <mergeCell ref="N49:O49"/>
    <mergeCell ref="M32:N32"/>
    <mergeCell ref="B50:E50"/>
    <mergeCell ref="B46:E46"/>
    <mergeCell ref="N40:O40"/>
    <mergeCell ref="K37:L37"/>
    <mergeCell ref="K38:L38"/>
    <mergeCell ref="N41:O41"/>
    <mergeCell ref="B49:E49"/>
    <mergeCell ref="B1:P1"/>
    <mergeCell ref="N44:O44"/>
    <mergeCell ref="N45:O45"/>
    <mergeCell ref="N46:O46"/>
    <mergeCell ref="N47:O47"/>
    <mergeCell ref="B10:C10"/>
    <mergeCell ref="P7:P14"/>
    <mergeCell ref="N12:N14"/>
    <mergeCell ref="B14:D14"/>
    <mergeCell ref="E15:E16"/>
    <mergeCell ref="B15:D16"/>
    <mergeCell ref="B17:D17"/>
    <mergeCell ref="B18:D18"/>
    <mergeCell ref="L23:P23"/>
    <mergeCell ref="M9:N11"/>
    <mergeCell ref="Q6:Q7"/>
    <mergeCell ref="B48:E48"/>
    <mergeCell ref="M27:P27"/>
    <mergeCell ref="M28:P28"/>
    <mergeCell ref="O7:O14"/>
    <mergeCell ref="B27:D27"/>
    <mergeCell ref="B23:D23"/>
    <mergeCell ref="B47:E47"/>
    <mergeCell ref="M24:P24"/>
    <mergeCell ref="M25:P25"/>
    <mergeCell ref="N42:O42"/>
    <mergeCell ref="N38:O38"/>
    <mergeCell ref="B26:D26"/>
    <mergeCell ref="B19:D19"/>
    <mergeCell ref="B42:E42"/>
    <mergeCell ref="B39:H39"/>
    <mergeCell ref="M26:P26"/>
    <mergeCell ref="B45:E45"/>
    <mergeCell ref="B43:E43"/>
    <mergeCell ref="B44:E44"/>
    <mergeCell ref="B25:D25"/>
    <mergeCell ref="B28:D28"/>
    <mergeCell ref="I34:K34"/>
    <mergeCell ref="B40:E40"/>
    <mergeCell ref="B24:D24"/>
    <mergeCell ref="B33:D33"/>
    <mergeCell ref="B35:D35"/>
    <mergeCell ref="B34:D34"/>
    <mergeCell ref="I37:J38"/>
    <mergeCell ref="B31:E31"/>
    <mergeCell ref="B32:D32"/>
  </mergeCells>
  <phoneticPr fontId="23" type="noConversion"/>
  <conditionalFormatting sqref="D2:H3 D6:E10 E15:E16 E18:E19 E24:E25 E32:E33 L24:L28 N37:O38 N49:O50">
    <cfRule type="expression" dxfId="30" priority="1" stopIfTrue="1">
      <formula>AND(selezione_passo_descrizione_intervento="x",selezione_ristrutturazione="x",selezione_costo_costr_comp_ristrutturazione="x")</formula>
    </cfRule>
    <cfRule type="expression" dxfId="29" priority="2">
      <formula>AND(selezione_passo_descrizione_intervento="x",selezione_cambio_uso="o",selezione_calcolo_completo="o")</formula>
    </cfRule>
    <cfRule type="expression" dxfId="28" priority="3">
      <formula>AND(selezione_passo_descrizione_intervento="x",selezione_cambio_uso="x",selezione_calcolo_completo="o")</formula>
    </cfRule>
    <cfRule type="expression" dxfId="27" priority="4">
      <formula>AND(selezione_passo_descrizione_intervento="x",selezione_sottotetti="o",selezione_calcolo_completo="o")</formula>
    </cfRule>
    <cfRule type="expression" dxfId="26" priority="5">
      <formula>AND(selezione_passo_descrizione_intervento="x",selezione_sottotetti="x",selezione_calcolo_completo="o")</formula>
    </cfRule>
    <cfRule type="expression" dxfId="25" priority="6">
      <formula>AND(selezione_passo_descrizione_intervento="x",selezione_ristrutturazione="o",selezione_calcolo_completo="o")</formula>
    </cfRule>
    <cfRule type="expression" dxfId="24" priority="7">
      <formula>AND(selezione_passo_descrizione_intervento="x",selezione_ampliamento="o",selezione_calcolo_completo="o")</formula>
    </cfRule>
    <cfRule type="expression" dxfId="23" priority="8">
      <formula>AND(selezione_passo_descrizione_intervento="x",selezione_ampliamento="x",selezione_calcolo_completo="o")</formula>
    </cfRule>
    <cfRule type="expression" dxfId="22" priority="9">
      <formula>AND(selezione_passo_descrizione_intervento="x",selezione_nuova_costruzione="o",selezione_calcolo_completo="o")</formula>
    </cfRule>
    <cfRule type="expression" dxfId="21" priority="10">
      <formula>AND(selezione_passo_descrizione_intervento="x",selezione_nuova_costruzione="x",selezione_calcolo_completo="o")</formula>
    </cfRule>
  </conditionalFormatting>
  <dataValidations count="2">
    <dataValidation type="list" allowBlank="1" showInputMessage="1" showErrorMessage="1" sqref="D2">
      <formula1>"Nuova costruzione,Ristrutturazione"</formula1>
    </dataValidation>
    <dataValidation type="list" allowBlank="1" showInputMessage="1" showErrorMessage="1" sqref="D3">
      <formula1>"Calcolo costo costruzione,Calcolo classe"</formula1>
    </dataValidation>
  </dataValidations>
  <hyperlinks>
    <hyperlink ref="Q6:Q7" location="'Procedura guidata (Office 2007)'!A1" display="Torna alla procedura guidata!"/>
  </hyperlinks>
  <pageMargins left="0.23622047244094491" right="0.15748031496062992" top="0.27559055118110237" bottom="0.27559055118110237" header="0.27559055118110237" footer="0.51181102362204722"/>
  <pageSetup paperSize="9" scale="8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487</vt:i4>
      </vt:variant>
    </vt:vector>
  </HeadingPairs>
  <TitlesOfParts>
    <vt:vector size="500" baseType="lpstr">
      <vt:lpstr>Procedura guidata (Office 2007)</vt:lpstr>
      <vt:lpstr>Riepilogo generale</vt:lpstr>
      <vt:lpstr>Riepilogo oneri e costi</vt:lpstr>
      <vt:lpstr>Contributo costruzione Hide</vt:lpstr>
      <vt:lpstr>Descrizione dell'intervento</vt:lpstr>
      <vt:lpstr>Determinazione classe</vt:lpstr>
      <vt:lpstr>Costo Costruzione</vt:lpstr>
      <vt:lpstr>Costo costruzione statofatto</vt:lpstr>
      <vt:lpstr>Costo costruzione progetto</vt:lpstr>
      <vt:lpstr>Calcolo superficie parcheggio</vt:lpstr>
      <vt:lpstr>Parametri</vt:lpstr>
      <vt:lpstr>Solo1</vt:lpstr>
      <vt:lpstr>Versioni</vt:lpstr>
      <vt:lpstr>'Contributo costruzione Hide'!Area_stampa</vt:lpstr>
      <vt:lpstr>'Costo Costruzione'!Area_stampa</vt:lpstr>
      <vt:lpstr>'Costo costruzione progetto'!Area_stampa</vt:lpstr>
      <vt:lpstr>'Costo costruzione statofatto'!Area_stampa</vt:lpstr>
      <vt:lpstr>'Descrizione dell''intervento'!Area_stampa</vt:lpstr>
      <vt:lpstr>'Determinazione classe'!Area_stampa</vt:lpstr>
      <vt:lpstr>'Riepilogo generale'!Area_stampa</vt:lpstr>
      <vt:lpstr>'Riepilogo oneri e costi'!Area_stampa</vt:lpstr>
      <vt:lpstr>Calcolo_sup_parcheggi_tot_volume_UIU</vt:lpstr>
      <vt:lpstr>'Contributo costruzione Hide'!CalcOn_OneriSmaltRif</vt:lpstr>
      <vt:lpstr>CalcOn_OneriSmaltRif</vt:lpstr>
      <vt:lpstr>'Contributo costruzione Hide'!CalcOn_OneriUrbPrim</vt:lpstr>
      <vt:lpstr>CalcOn_OneriUrbPrim</vt:lpstr>
      <vt:lpstr>'Contributo costruzione Hide'!CalcOn_OneriUrbSec</vt:lpstr>
      <vt:lpstr>CalcOn_OneriUrbSec</vt:lpstr>
      <vt:lpstr>'Contributo costruzione Hide'!CC_AltriCosti_DescMaggCostoCAreeAgr</vt:lpstr>
      <vt:lpstr>CC_AltriCosti_DescMaggCostoCAreeAgr</vt:lpstr>
      <vt:lpstr>'Contributo costruzione Hide'!CC_AltriCosti_Sanzione</vt:lpstr>
      <vt:lpstr>CC_AltriCosti_Sanzione</vt:lpstr>
      <vt:lpstr>'Contributo costruzione Hide'!CC_AltriCosti_SanzioneLabel</vt:lpstr>
      <vt:lpstr>CC_AltriCosti_SanzioneLabel</vt:lpstr>
      <vt:lpstr>'Contributo costruzione Hide'!CC_AltriCosti_ValoreMaggCCRecSott</vt:lpstr>
      <vt:lpstr>CC_AltriCosti_ValoreMaggCCRecSott</vt:lpstr>
      <vt:lpstr>CC_AltriCosti_ValoreMaggCCRecSott_Etic</vt:lpstr>
      <vt:lpstr>'Contributo costruzione Hide'!CC_AltriCosti_ValoreMaggCostoCAreeAgr</vt:lpstr>
      <vt:lpstr>CC_AltriCosti_ValoreMaggCostoCAreeAgr</vt:lpstr>
      <vt:lpstr>'Contributo costruzione Hide'!CC_AltriCosti_ValoreMaggOnPrimRecSott</vt:lpstr>
      <vt:lpstr>CC_AltriCosti_ValoreMaggOnPrimRecSott</vt:lpstr>
      <vt:lpstr>CC_AltriCosti_ValoreMaggOnPrimRecSott_Etic</vt:lpstr>
      <vt:lpstr>'Contributo costruzione Hide'!CC_AltriCosti_ValoreMaggOnRecSott</vt:lpstr>
      <vt:lpstr>CC_AltriCosti_ValoreMaggOnRecSott</vt:lpstr>
      <vt:lpstr>CC_AltriCosti_ValoreMaggOnRecSott_Etic</vt:lpstr>
      <vt:lpstr>'Contributo costruzione Hide'!CC_CommercioTerziario</vt:lpstr>
      <vt:lpstr>CC_CommercioTerziario</vt:lpstr>
      <vt:lpstr>'Contributo costruzione Hide'!CC_Corrisposto</vt:lpstr>
      <vt:lpstr>CC_Corrisposto</vt:lpstr>
      <vt:lpstr>'Contributo costruzione Hide'!cc_CostoCostRecSottProg</vt:lpstr>
      <vt:lpstr>cc_CostoCostRecSottProg</vt:lpstr>
      <vt:lpstr>'Contributo costruzione Hide'!CC_lblPersonalizzazione1</vt:lpstr>
      <vt:lpstr>CC_lblPersonalizzazione1</vt:lpstr>
      <vt:lpstr>'Costo costruzione statofatto'!Cc_Modalitacalcolo</vt:lpstr>
      <vt:lpstr>Cc_Modalitacalcolo</vt:lpstr>
      <vt:lpstr>CC_Oneri_Urb_Prim_Corrisposti</vt:lpstr>
      <vt:lpstr>CC_Oneri_Urb_Sec_Corrisposti</vt:lpstr>
      <vt:lpstr>'Contributo costruzione Hide'!Cc_OneriSmaltRifiutiRif</vt:lpstr>
      <vt:lpstr>Cc_OneriSmaltRifiutiRif</vt:lpstr>
      <vt:lpstr>'Contributo costruzione Hide'!Cc_OneriUrbPrimariaRif</vt:lpstr>
      <vt:lpstr>Cc_OneriUrbPrimariaRif</vt:lpstr>
      <vt:lpstr>'Contributo costruzione Hide'!Cc_OneriUrbSecondariaRif</vt:lpstr>
      <vt:lpstr>Cc_OneriUrbSecondariaRif</vt:lpstr>
      <vt:lpstr>'Contributo costruzione Hide'!CC_Residenziale</vt:lpstr>
      <vt:lpstr>CC_Residenziale</vt:lpstr>
      <vt:lpstr>'Contributo costruzione Hide'!CC_RiduzionePianoCasa</vt:lpstr>
      <vt:lpstr>CC_RiduzionePianoCasa</vt:lpstr>
      <vt:lpstr>CC_RiduzionePianoCasa_StFatto_Prog</vt:lpstr>
      <vt:lpstr>'Contributo costruzione Hide'!CC_SanzioneCostoCostruzione</vt:lpstr>
      <vt:lpstr>CC_SanzioneCostoCostruzione</vt:lpstr>
      <vt:lpstr>CC_SanzioneCostoCostruzione_StFatto_Prog</vt:lpstr>
      <vt:lpstr>'Contributo costruzione Hide'!CC_SanzioneOneriUrbPrim</vt:lpstr>
      <vt:lpstr>CC_SanzioneOneriUrbPrim</vt:lpstr>
      <vt:lpstr>'Contributo costruzione Hide'!CC_SanzioneOneriUrbSec</vt:lpstr>
      <vt:lpstr>CC_SanzioneOneriUrbSec</vt:lpstr>
      <vt:lpstr>CC_SanzioneSmaltimentoRifiuti</vt:lpstr>
      <vt:lpstr>'Costo costruzione statofatto'!CCSF_DettContCostoCost_SommaIncrementi</vt:lpstr>
      <vt:lpstr>'Costo Costruzione'!CCStatoFatto_SupCalcolo</vt:lpstr>
      <vt:lpstr>CCStatoFatto_SupCalcolo</vt:lpstr>
      <vt:lpstr>'Contributo costruzione Hide'!Co_MonAreeParc</vt:lpstr>
      <vt:lpstr>Co_MonAreeParc</vt:lpstr>
      <vt:lpstr>'Contributo costruzione Hide'!Co_MonAreeStand</vt:lpstr>
      <vt:lpstr>Co_MonAreeStand</vt:lpstr>
      <vt:lpstr>'Contributo costruzione Hide'!Co_NEdResPrim</vt:lpstr>
      <vt:lpstr>'Costo Costruzione'!Co_NEdResPrim</vt:lpstr>
      <vt:lpstr>Co_NEdResPrim</vt:lpstr>
      <vt:lpstr>'Contributo costruzione Hide'!Co_NEdResSec</vt:lpstr>
      <vt:lpstr>Co_NEdResSec</vt:lpstr>
      <vt:lpstr>'Costo Costruzione'!Co_NEdSottPrim</vt:lpstr>
      <vt:lpstr>'Contributo costruzione Hide'!Complessivo_ConMagg</vt:lpstr>
      <vt:lpstr>Complessivo_ConMagg</vt:lpstr>
      <vt:lpstr>Costo_costruzione_Corrisposto</vt:lpstr>
      <vt:lpstr>CostoBase</vt:lpstr>
      <vt:lpstr>CostoCost_Nuov_Ampl_EscCorrisposto</vt:lpstr>
      <vt:lpstr>CostoCost_NuovaCost_CcEdificio</vt:lpstr>
      <vt:lpstr>CostoCost_NuovaCost_ContrBaseMinistAliq</vt:lpstr>
      <vt:lpstr>CostoCost_NuovaCost_ContrBaseMinistValore</vt:lpstr>
      <vt:lpstr>CostoCost_NuovaCost_ContrComEstComAliq</vt:lpstr>
      <vt:lpstr>CostoCost_NuovaCost_ContrComEstResAliq</vt:lpstr>
      <vt:lpstr>CostoCost_NuovaCost_SupCompl</vt:lpstr>
      <vt:lpstr>CostoCost_NuovaCostComm_ComputoEstim</vt:lpstr>
      <vt:lpstr>CostoCost_NuovaCostComm_SupCompl</vt:lpstr>
      <vt:lpstr>CostoCost_NuovaCostResid_ComputoEstim</vt:lpstr>
      <vt:lpstr>CostoCost_NuovaCostResid_SupCompl</vt:lpstr>
      <vt:lpstr>CostoCost_NuovaEdif_Dovuto</vt:lpstr>
      <vt:lpstr>CostoCost_Riferimento_Valore</vt:lpstr>
      <vt:lpstr>CostoCost_Rist_CcEdificio</vt:lpstr>
      <vt:lpstr>CostoCost_Rist_ContrBaseMinistAliq</vt:lpstr>
      <vt:lpstr>CostoCost_Rist_ContrBaseMinistValore</vt:lpstr>
      <vt:lpstr>CostoCost_Rist_ContrComEstComAliq</vt:lpstr>
      <vt:lpstr>CostoCost_Rist_ContrComEstResAliq</vt:lpstr>
      <vt:lpstr>CostoCost_Rist_Resid_ComputoEstim</vt:lpstr>
      <vt:lpstr>CostoCost_Rist_SupCompl</vt:lpstr>
      <vt:lpstr>CostoCost_RistComm_ComputoEstim</vt:lpstr>
      <vt:lpstr>CostoCost_RistComm_SupCompl</vt:lpstr>
      <vt:lpstr>CostoCost_Ristr_EscCorrisposto</vt:lpstr>
      <vt:lpstr>CostoCost_RistrAmpl_Dovuto</vt:lpstr>
      <vt:lpstr>CostoCost_RistResid_SupCompl</vt:lpstr>
      <vt:lpstr>CostoCost_Sot_CcEdificio</vt:lpstr>
      <vt:lpstr>CostoCost_Sot_ContrBaseMinistAliq</vt:lpstr>
      <vt:lpstr>CostoCost_Sot_ContrComEstResAliq</vt:lpstr>
      <vt:lpstr>CostoCost_Sot_SupCompl</vt:lpstr>
      <vt:lpstr>CostoCost_Sott_ContEscMagg</vt:lpstr>
      <vt:lpstr>CostoCost_Sott_PercentMagg</vt:lpstr>
      <vt:lpstr>CostoCost_Sottotetti_ComputoEstim</vt:lpstr>
      <vt:lpstr>CostoCost_Sottotetti_ContrBaseMinistValore</vt:lpstr>
      <vt:lpstr>CostoCost_SottotResid_SupCompl</vt:lpstr>
      <vt:lpstr>CostoCostFinale_NuovaCostComm_ComputoEstim</vt:lpstr>
      <vt:lpstr>CostoCostFinale_NuovaCostResid_ComputoEstim</vt:lpstr>
      <vt:lpstr>CostoCostFinale_Rist_Resid_ComputoEstim</vt:lpstr>
      <vt:lpstr>CostoCostFinale_RistComm_ComputoEstim</vt:lpstr>
      <vt:lpstr>CostoCostFinale_Sottotetti_ComputoEstim</vt:lpstr>
      <vt:lpstr>CostoCostProg_ContributoDovuto</vt:lpstr>
      <vt:lpstr>CostoCostr_NuovaEdif_corrisposto_concessione_cong</vt:lpstr>
      <vt:lpstr>CostoCostr_NuovaEdif_corrisposto_varianti</vt:lpstr>
      <vt:lpstr>CostoCostr_NuovaEdif_Prog_corrisposto_concessione_cong</vt:lpstr>
      <vt:lpstr>CostoCostr_NuovaEdif_Prog_corrisposto_varianti</vt:lpstr>
      <vt:lpstr>CostoCostr_NuovaEdif_StFatto_corrisposto_concessione_cong</vt:lpstr>
      <vt:lpstr>CostoCostr_NuovaEdif_StFatto_corrisposto_varianti</vt:lpstr>
      <vt:lpstr>'Contributo costruzione Hide'!CostoCostr_Prog_StFatto_corrisposto</vt:lpstr>
      <vt:lpstr>CostoCostr_Prog_StFatto_corrisposto</vt:lpstr>
      <vt:lpstr>CostoCostr_Ristrutt_corrisposto_concessione_cong</vt:lpstr>
      <vt:lpstr>CostoCostr_Ristrutt_corrisposto_varianti</vt:lpstr>
      <vt:lpstr>CostoCostStatoFatto_ContributoDovuto</vt:lpstr>
      <vt:lpstr>DatiGen_IntervSanOnerosaForfImp</vt:lpstr>
      <vt:lpstr>DatiGen_ResidenzialeClasseA</vt:lpstr>
      <vt:lpstr>DetCL_DettContCostoCost_SommaIncrementi</vt:lpstr>
      <vt:lpstr>DetClasse_Abitanti</vt:lpstr>
      <vt:lpstr>DetClasse_CostoCostruzClasse</vt:lpstr>
      <vt:lpstr>DetClasse_CostoMaggiorato</vt:lpstr>
      <vt:lpstr>DetClasse_Maggiorazione</vt:lpstr>
      <vt:lpstr>DetClasse_NomeMatrice</vt:lpstr>
      <vt:lpstr>DetClasse_NomeMatriceMinClassi</vt:lpstr>
      <vt:lpstr>DetClasse_SupUtile</vt:lpstr>
      <vt:lpstr>'Costo costruzione statofatto'!DettaglioCostoCostruz_Classe</vt:lpstr>
      <vt:lpstr>DettaglioCostoCostruz_Classe</vt:lpstr>
      <vt:lpstr>'Costo costruzione statofatto'!DettaglioCostoCostruz_TipoIntervento</vt:lpstr>
      <vt:lpstr>DettaglioCostoCostruz_TipoIntervento</vt:lpstr>
      <vt:lpstr>DettContCostoCost_SommaIncrementi</vt:lpstr>
      <vt:lpstr>DettContCostoCost_Sottot_Dovuto</vt:lpstr>
      <vt:lpstr>DettCosCostruz_SupCalcolo</vt:lpstr>
      <vt:lpstr>EdiliziaConvenzionata</vt:lpstr>
      <vt:lpstr>ElencoZone</vt:lpstr>
      <vt:lpstr>ElencoZoneMonetizzazione</vt:lpstr>
      <vt:lpstr>ElencoZoneMonetizzazione_Parcheggi</vt:lpstr>
      <vt:lpstr>ElencoZoneTerritoriali</vt:lpstr>
      <vt:lpstr>'Contributo costruzione Hide'!ImportoAltriCosti</vt:lpstr>
      <vt:lpstr>ImportoAltriCosti</vt:lpstr>
      <vt:lpstr>'Contributo costruzione Hide'!ImportoCostoCostruzione</vt:lpstr>
      <vt:lpstr>ImportoCostoCostruzione</vt:lpstr>
      <vt:lpstr>'Contributo costruzione Hide'!ImportoCostoCostruzione_AltriCosti</vt:lpstr>
      <vt:lpstr>'Contributo costruzione Hide'!ImportoCostoCostruzione_conAltriCosti</vt:lpstr>
      <vt:lpstr>ImportoCostoCostruzione_conAltriCosti</vt:lpstr>
      <vt:lpstr>'Contributo costruzione Hide'!ImportoCostoCostruzione_senzaAltriCosti</vt:lpstr>
      <vt:lpstr>'Contributo costruzione Hide'!ImportoCostoCostruzione_StatoFattoProgetto</vt:lpstr>
      <vt:lpstr>ImportoCostoCostruzione_StatoFattoProgetto</vt:lpstr>
      <vt:lpstr>'Contributo costruzione Hide'!ImportoOneriSmaltimentoRif</vt:lpstr>
      <vt:lpstr>'Costo Costruzione'!ImportoOneriSmaltimentoRif</vt:lpstr>
      <vt:lpstr>'Costo costruzione statofatto'!ImportoOneriSmaltimentoRif</vt:lpstr>
      <vt:lpstr>'Determinazione classe'!ImportoOneriSmaltimentoRif</vt:lpstr>
      <vt:lpstr>ImportoOneriSmaltimentoRif</vt:lpstr>
      <vt:lpstr>'Contributo costruzione Hide'!ImportoOneriSmaltRif_NuovaDest</vt:lpstr>
      <vt:lpstr>ImportoOneriSmaltRif_NuovaDest</vt:lpstr>
      <vt:lpstr>'Contributo costruzione Hide'!ImportoOneriUrb1</vt:lpstr>
      <vt:lpstr>ImportoOneriUrb1</vt:lpstr>
      <vt:lpstr>'Contributo costruzione Hide'!ImportoOneriUrb1_NuovaDest</vt:lpstr>
      <vt:lpstr>ImportoOneriUrb1_NuovaDest</vt:lpstr>
      <vt:lpstr>'Contributo costruzione Hide'!ImportoOneriUrb2</vt:lpstr>
      <vt:lpstr>ImportoOneriUrb2</vt:lpstr>
      <vt:lpstr>'Contributo costruzione Hide'!ImportoOneriUrb2_NuovaDest</vt:lpstr>
      <vt:lpstr>ImportoOneriUrb2_NuovaDest</vt:lpstr>
      <vt:lpstr>'Contributo costruzione Hide'!ImportoOneriUrbanizzazione</vt:lpstr>
      <vt:lpstr>'Costo Costruzione'!ImportoOneriUrbanizzazione</vt:lpstr>
      <vt:lpstr>'Costo costruzione statofatto'!ImportoOneriUrbanizzazione</vt:lpstr>
      <vt:lpstr>'Determinazione classe'!ImportoOneriUrbanizzazione</vt:lpstr>
      <vt:lpstr>ImportoOneriUrbanizzazione</vt:lpstr>
      <vt:lpstr>'Contributo costruzione Hide'!ImportoOneriUrbanizzazione_AltriCosti</vt:lpstr>
      <vt:lpstr>'Contributo costruzione Hide'!ImportoOneriUrbanizzazione_NuovaDest</vt:lpstr>
      <vt:lpstr>ImportoOneriUrbanizzazione_NuovaDest</vt:lpstr>
      <vt:lpstr>'Contributo costruzione Hide'!ImportoOneriUrbanizzazione_Riferimento</vt:lpstr>
      <vt:lpstr>ImportoOneriUrbanizzazione_Riferimento</vt:lpstr>
      <vt:lpstr>ImportoOneriUrbanizzazione_Riferimento_hide</vt:lpstr>
      <vt:lpstr>'Contributo costruzione Hide'!ImportoOneriUrbPrim_NuovaDest</vt:lpstr>
      <vt:lpstr>ImportoOneriUrbPrim_NuovaDest</vt:lpstr>
      <vt:lpstr>'Contributo costruzione Hide'!ImportoOneriUrbRecSottPrimaria</vt:lpstr>
      <vt:lpstr>ImportoOneriUrbRecSottPrimaria</vt:lpstr>
      <vt:lpstr>'Contributo costruzione Hide'!ImportoOneriUrbRecSottSecondaria</vt:lpstr>
      <vt:lpstr>ImportoOneriUrbRecSottSecondaria</vt:lpstr>
      <vt:lpstr>ImportoSmaltRifiuti_NuovaDest</vt:lpstr>
      <vt:lpstr>InSanatoria</vt:lpstr>
      <vt:lpstr>link_descrizione_intervento</vt:lpstr>
      <vt:lpstr>link_monetizzazione_standards</vt:lpstr>
      <vt:lpstr>link_oneri_urbanizzazione</vt:lpstr>
      <vt:lpstr>link_oneri_urbanizzazione_cambio_uso</vt:lpstr>
      <vt:lpstr>'Costo Costruzione'!Maggiorazione</vt:lpstr>
      <vt:lpstr>'Costo costruzione statofatto'!Maggiorazione</vt:lpstr>
      <vt:lpstr>'Determinazione classe'!Maggiorazione</vt:lpstr>
      <vt:lpstr>Maggiorazione</vt:lpstr>
      <vt:lpstr>MatriceParametri</vt:lpstr>
      <vt:lpstr>'Costo Costruzione'!Monetizz_Aree_sup</vt:lpstr>
      <vt:lpstr>'Costo costruzione statofatto'!Monetizz_Aree_sup</vt:lpstr>
      <vt:lpstr>'Determinazione classe'!Monetizz_Aree_sup</vt:lpstr>
      <vt:lpstr>Monetizz_Aree_sup</vt:lpstr>
      <vt:lpstr>'Costo Costruzione'!Monetizz_Parcheggi_Sup</vt:lpstr>
      <vt:lpstr>'Costo costruzione statofatto'!Monetizz_Parcheggi_Sup</vt:lpstr>
      <vt:lpstr>'Determinazione classe'!Monetizz_Parcheggi_Sup</vt:lpstr>
      <vt:lpstr>Monetizz_Parcheggi_Sup</vt:lpstr>
      <vt:lpstr>'Contributo costruzione Hide'!Monetizzazione</vt:lpstr>
      <vt:lpstr>'Costo Costruzione'!Monetizzazione</vt:lpstr>
      <vt:lpstr>'Costo costruzione statofatto'!Monetizzazione</vt:lpstr>
      <vt:lpstr>'Determinazione classe'!Monetizzazione</vt:lpstr>
      <vt:lpstr>Monetizzazione</vt:lpstr>
      <vt:lpstr>'Contributo costruzione Hide'!Oneri_RiduzionePianoCasa</vt:lpstr>
      <vt:lpstr>Oneri_Urb_Prim_Corrisposti</vt:lpstr>
      <vt:lpstr>'Contributo costruzione Hide'!oneri_urb_prim_dest_finale</vt:lpstr>
      <vt:lpstr>oneri_urb_prim_dest_finale</vt:lpstr>
      <vt:lpstr>'Contributo costruzione Hide'!oneri_urb_prim_dest_iniziale</vt:lpstr>
      <vt:lpstr>oneri_urb_prim_dest_iniziale</vt:lpstr>
      <vt:lpstr>Oneri_Urb_Sec_Corrisposti</vt:lpstr>
      <vt:lpstr>'Contributo costruzione Hide'!oneri_urb_sec_dest_finale</vt:lpstr>
      <vt:lpstr>oneri_urb_sec_dest_finale</vt:lpstr>
      <vt:lpstr>'Contributo costruzione Hide'!oneri_urb_sec_dest_iniziale</vt:lpstr>
      <vt:lpstr>oneri_urb_sec_dest_iniziale</vt:lpstr>
      <vt:lpstr>'Costo Costruzione'!OneriTotali</vt:lpstr>
      <vt:lpstr>'Costo costruzione statofatto'!OneriTotali</vt:lpstr>
      <vt:lpstr>'Determinazione classe'!OneriTotali</vt:lpstr>
      <vt:lpstr>OnPrim_RiduzionePianoCasa</vt:lpstr>
      <vt:lpstr>OnSec_RiduzionePianoCasa</vt:lpstr>
      <vt:lpstr>'Contributo costruzione Hide'!OnUrb_AltriCosti_DescMaggCostoCAreeAgr</vt:lpstr>
      <vt:lpstr>OnUrb_AltriCosti_DescMaggCostoCAreeAgr</vt:lpstr>
      <vt:lpstr>'Contributo costruzione Hide'!OnUrb_AltriCosti_ValoreMaggCostoCAreeAgr</vt:lpstr>
      <vt:lpstr>OnUrb_AltriCosti_ValoreMaggCostoCAreeAgr</vt:lpstr>
      <vt:lpstr>opzioni</vt:lpstr>
      <vt:lpstr>Ou_Cost_AttCulSan_NuovaEdif</vt:lpstr>
      <vt:lpstr>Ou_Cost_AttSpett_NuovaEdif</vt:lpstr>
      <vt:lpstr>Ou_Cost_AttSport_NuovaEdif</vt:lpstr>
      <vt:lpstr>Ou_Cost_Comm_NuovaEdif</vt:lpstr>
      <vt:lpstr>Ou_Cost_IndAlb_NuovaEdif</vt:lpstr>
      <vt:lpstr>Ou_Cost_IndArt_NuovaEdif</vt:lpstr>
      <vt:lpstr>Ou_Cost_Parc_NuovaEdif</vt:lpstr>
      <vt:lpstr>Ou_Cost_Personalizzazione1_NuovaEdif</vt:lpstr>
      <vt:lpstr>Ou_Cost_Personalizzazione2_NuovaEdif</vt:lpstr>
      <vt:lpstr>Ou_Cost_Personalizzazione3_NuovaEdif</vt:lpstr>
      <vt:lpstr>Ou_Cost_Personalizzazione4_NuovaEdif</vt:lpstr>
      <vt:lpstr>Ou_Cost_Personalizzazione5_NuovaEdif</vt:lpstr>
      <vt:lpstr>Ou_Cost_Res_NuovaEdif</vt:lpstr>
      <vt:lpstr>Ou_NuovaEd_AreaAgricola</vt:lpstr>
      <vt:lpstr>Ou_NuovaEd_AreaAgricolaPerc</vt:lpstr>
      <vt:lpstr>Ou_NuovaEd_AreaAgricolaSupAreaAg</vt:lpstr>
      <vt:lpstr>Ou_NuovaEd_AreaAgricolaSupLotto</vt:lpstr>
      <vt:lpstr>Ou_NuovaEd_AttSpet_ParReale</vt:lpstr>
      <vt:lpstr>Ou_NuovaEd_AttSpet_ParVirt</vt:lpstr>
      <vt:lpstr>Ou_NuovaEd_AttSpor_ParReale</vt:lpstr>
      <vt:lpstr>Ou_NuovaEd_AttSpor_ParVirt</vt:lpstr>
      <vt:lpstr>Ou_NuovaEd_Com_ParReale</vt:lpstr>
      <vt:lpstr>Ou_NuovaEd_Com_ParVirt</vt:lpstr>
      <vt:lpstr>Ou_NuovaEd_CultSan_ParReale</vt:lpstr>
      <vt:lpstr>Ou_NuovaEd_CultSan_ParVirt</vt:lpstr>
      <vt:lpstr>Ou_NuovaEd_IndAlb_ParReale</vt:lpstr>
      <vt:lpstr>Ou_NuovaEd_IndAlb_ParVirt</vt:lpstr>
      <vt:lpstr>Ou_NuovaEd_IndArt_ParReale</vt:lpstr>
      <vt:lpstr>Ou_NuovaEd_IndArt_ParVirt</vt:lpstr>
      <vt:lpstr>Ou_NuovaEd_ParSil_ParReale</vt:lpstr>
      <vt:lpstr>Ou_NuovaEd_ParSil_ParVirt</vt:lpstr>
      <vt:lpstr>Ou_NuovaEd_Person1_ParVirt</vt:lpstr>
      <vt:lpstr>Ou_NuovaEd_Person2_ParVirt</vt:lpstr>
      <vt:lpstr>Ou_NuovaEd_Person3_ParVirt</vt:lpstr>
      <vt:lpstr>Ou_NuovaEd_Person4_ParVirt</vt:lpstr>
      <vt:lpstr>Ou_NuovaEd_Person5_ParVirt</vt:lpstr>
      <vt:lpstr>Ou_NuovaEd_Res_ParVirt</vt:lpstr>
      <vt:lpstr>Ou_NuovaEd_Sottotetti_ParReale</vt:lpstr>
      <vt:lpstr>Ou_NuovaEd_Sottotetti_ParVirt</vt:lpstr>
      <vt:lpstr>Ou_PrimariaDefiniti</vt:lpstr>
      <vt:lpstr>Ou_Rist_AttSpet</vt:lpstr>
      <vt:lpstr>Ou_Rist_AttSpet_CompMet</vt:lpstr>
      <vt:lpstr>Ou_Rist_AttSpet_ParReale</vt:lpstr>
      <vt:lpstr>Ou_Rist_AttSpet_ParVirt</vt:lpstr>
      <vt:lpstr>Ou_Rist_AttSpor</vt:lpstr>
      <vt:lpstr>Ou_Rist_AttSpor_CompMet</vt:lpstr>
      <vt:lpstr>Ou_Rist_AttSpor_ParReale</vt:lpstr>
      <vt:lpstr>Ou_Rist_AttSpor_ParVirt</vt:lpstr>
      <vt:lpstr>Ou_Rist_Com</vt:lpstr>
      <vt:lpstr>Ou_Rist_Com_CompMet</vt:lpstr>
      <vt:lpstr>Ou_Rist_Com_ParReale</vt:lpstr>
      <vt:lpstr>Ou_Rist_Com_ParVirt</vt:lpstr>
      <vt:lpstr>Ou_Rist_CultSan</vt:lpstr>
      <vt:lpstr>Ou_Rist_CultSan_CompMet</vt:lpstr>
      <vt:lpstr>Ou_Rist_CultSan_ParReale</vt:lpstr>
      <vt:lpstr>Ou_Rist_CultSan_ParVirt</vt:lpstr>
      <vt:lpstr>Ou_Rist_IndAlb</vt:lpstr>
      <vt:lpstr>Ou_Rist_IndAlb_CompMet</vt:lpstr>
      <vt:lpstr>Ou_Rist_IndAlb_ParReale</vt:lpstr>
      <vt:lpstr>Ou_Rist_IndAlb_ParVirt</vt:lpstr>
      <vt:lpstr>Ou_Rist_IndArt</vt:lpstr>
      <vt:lpstr>Ou_Rist_IndArt_CompMet</vt:lpstr>
      <vt:lpstr>Ou_Rist_IndArt_ParReale</vt:lpstr>
      <vt:lpstr>Ou_Rist_IndArt_ParVirt</vt:lpstr>
      <vt:lpstr>Ou_Rist_ParSil</vt:lpstr>
      <vt:lpstr>Ou_Rist_ParSil_CompMet</vt:lpstr>
      <vt:lpstr>Ou_Rist_ParSil_ParReale</vt:lpstr>
      <vt:lpstr>Ou_Rist_ParSil_ParVirt</vt:lpstr>
      <vt:lpstr>Ou_Rist_Personalizzazione1</vt:lpstr>
      <vt:lpstr>Ou_Rist_Personalizzazione1_CompMet</vt:lpstr>
      <vt:lpstr>Ou_Rist_Personalizzazione1_ParReale</vt:lpstr>
      <vt:lpstr>Ou_Rist_Personalizzazione1_ParVirt</vt:lpstr>
      <vt:lpstr>Ou_Rist_Personalizzazione2</vt:lpstr>
      <vt:lpstr>Ou_Rist_Personalizzazione2_CompMet</vt:lpstr>
      <vt:lpstr>Ou_Rist_Personalizzazione2_ParReale</vt:lpstr>
      <vt:lpstr>Ou_Rist_Personalizzazione2_ParVirt</vt:lpstr>
      <vt:lpstr>Ou_Rist_Personalizzazione3</vt:lpstr>
      <vt:lpstr>Ou_Rist_Personalizzazione3_CompMet</vt:lpstr>
      <vt:lpstr>Ou_Rist_Personalizzazione3_ParReale</vt:lpstr>
      <vt:lpstr>Ou_Rist_Personalizzazione3_ParVirt</vt:lpstr>
      <vt:lpstr>Ou_Rist_Personalizzazione4</vt:lpstr>
      <vt:lpstr>Ou_Rist_Personalizzazione4_CompMet</vt:lpstr>
      <vt:lpstr>Ou_Rist_Personalizzazione4_ParReale</vt:lpstr>
      <vt:lpstr>Ou_Rist_Personalizzazione4_ParVirt</vt:lpstr>
      <vt:lpstr>Ou_Rist_Personalizzazione5</vt:lpstr>
      <vt:lpstr>Ou_Rist_Personalizzazione5_CompMet</vt:lpstr>
      <vt:lpstr>Ou_Rist_Personalizzazione5_ParReale</vt:lpstr>
      <vt:lpstr>Ou_Rist_Personalizzazione5_ParVirt</vt:lpstr>
      <vt:lpstr>Ou_Rist_Res</vt:lpstr>
      <vt:lpstr>Ou_Rist_Res_CompMet</vt:lpstr>
      <vt:lpstr>'Costo Costruzione'!Ou_Rist_Res_ParReale</vt:lpstr>
      <vt:lpstr>'Costo costruzione statofatto'!Ou_Rist_Res_ParReale</vt:lpstr>
      <vt:lpstr>'Determinazione classe'!Ou_Rist_Res_ParReale</vt:lpstr>
      <vt:lpstr>Ou_Rist_Res_ParReale</vt:lpstr>
      <vt:lpstr>Ou_Rist_Res_ParVirt</vt:lpstr>
      <vt:lpstr>Ou_SecDefiniti</vt:lpstr>
      <vt:lpstr>Ou_UsoIniziale_AttSpet_ParVirt</vt:lpstr>
      <vt:lpstr>Ou_UsoIniziale_AttSpor_ParVirt</vt:lpstr>
      <vt:lpstr>Ou_UsoIniziale_Com_ParVirt</vt:lpstr>
      <vt:lpstr>Ou_UsoIniziale_CultSan_ParVirt</vt:lpstr>
      <vt:lpstr>Ou_UsoIniziale_IndAlb_ParVirt</vt:lpstr>
      <vt:lpstr>Ou_UsoIniziale_IndArt_ParVirt</vt:lpstr>
      <vt:lpstr>Ou_UsoIniziale_ParSil_ParVirt</vt:lpstr>
      <vt:lpstr>Ou_UsoIniziale_Person1_ParVirt</vt:lpstr>
      <vt:lpstr>Ou_UsoIniziale_Person2_ParVirt</vt:lpstr>
      <vt:lpstr>Ou_UsoIniziale_Person3_ParVirt</vt:lpstr>
      <vt:lpstr>Ou_UsoIniziale_Person4_ParVirt</vt:lpstr>
      <vt:lpstr>Ou_UsoIniziale_Person5_ParVirt</vt:lpstr>
      <vt:lpstr>Ou_UsoIniziale_Res_ParVirt</vt:lpstr>
      <vt:lpstr>Par_PianoCasa_Rid</vt:lpstr>
      <vt:lpstr>Par_PianoCasa_RidCC</vt:lpstr>
      <vt:lpstr>Parametri_Aliquota_terziario_nuova_costr</vt:lpstr>
      <vt:lpstr>Parametri_Aliquota_terziario_ristrutt</vt:lpstr>
      <vt:lpstr>Parametri_Classi</vt:lpstr>
      <vt:lpstr>Parametri_ClassiSopr50000Ab</vt:lpstr>
      <vt:lpstr>Parametri_ColonnaDesinazione1</vt:lpstr>
      <vt:lpstr>Parametri_DestUsoPersonalizzazione1</vt:lpstr>
      <vt:lpstr>Parametri_DestUsoPersonalizzazione10</vt:lpstr>
      <vt:lpstr>Parametri_DestUsoPersonalizzazione11</vt:lpstr>
      <vt:lpstr>Parametri_DestUsoPersonalizzazione12</vt:lpstr>
      <vt:lpstr>Parametri_DestUsoPersonalizzazione13</vt:lpstr>
      <vt:lpstr>Parametri_DestUsoPersonalizzazione2</vt:lpstr>
      <vt:lpstr>Parametri_DestUsoPersonalizzazione3</vt:lpstr>
      <vt:lpstr>Parametri_DestUsoPersonalizzazione4</vt:lpstr>
      <vt:lpstr>Parametri_DestUsoPersonalizzazione5</vt:lpstr>
      <vt:lpstr>Parametri_DestUsoPersonalizzazione6</vt:lpstr>
      <vt:lpstr>Parametri_DestUsoPersonalizzazione7</vt:lpstr>
      <vt:lpstr>Parametri_DestUsoPersonalizzazione8</vt:lpstr>
      <vt:lpstr>Parametri_DestUsoPersonalizzazione9</vt:lpstr>
      <vt:lpstr>Parametri_ElencoZoneMatrice</vt:lpstr>
      <vt:lpstr>Parametri_ElencoZoneMonetizzAreeStandDesc</vt:lpstr>
      <vt:lpstr>Parametri_ElencoZoneMonetizzParcheggiDesc</vt:lpstr>
      <vt:lpstr>Parametri_ElencoZoneParcheggiMatrice</vt:lpstr>
      <vt:lpstr>Parametri_ElencoZoneTerritorialiDesc</vt:lpstr>
      <vt:lpstr>Parametri_MaggiorazioneAreeAgric</vt:lpstr>
      <vt:lpstr>Parametri_MaggiorazioneSottotetti</vt:lpstr>
      <vt:lpstr>Parametri_MaggiorazioneSottotettiAZone</vt:lpstr>
      <vt:lpstr>Parametri_MaggiorazioneSottotettiCC</vt:lpstr>
      <vt:lpstr>Parametri_MaggiorazioneSottotettiCCAZone</vt:lpstr>
      <vt:lpstr>Parametri_MaxClassi</vt:lpstr>
      <vt:lpstr>Parametri_MaxClassiSopr50000Ab</vt:lpstr>
      <vt:lpstr>Parametri_MinClassi</vt:lpstr>
      <vt:lpstr>Parametri_MinClassiSopr50000Ab</vt:lpstr>
      <vt:lpstr>Parametri_MonetizzazioneAreeStand</vt:lpstr>
      <vt:lpstr>Parametri_MonetizzazioneParcheggi</vt:lpstr>
      <vt:lpstr>Parcheggio_Recupero_Sottotetti</vt:lpstr>
      <vt:lpstr>passo_descrizione_intervento</vt:lpstr>
      <vt:lpstr>PianoCasa</vt:lpstr>
      <vt:lpstr>Riep_DatiProg_EvSupSottRec</vt:lpstr>
      <vt:lpstr>Riep_DatiProg_SupComp</vt:lpstr>
      <vt:lpstr>Riepilogo_AltriCosti</vt:lpstr>
      <vt:lpstr>Riepilogo_CC_AltriCosti_ValoreMaggCostoCAreeAgr</vt:lpstr>
      <vt:lpstr>Riepilogo_Cc_OneriSmaltRifiutiRif</vt:lpstr>
      <vt:lpstr>Riepilogo_CC_RiduzionePianoCasa</vt:lpstr>
      <vt:lpstr>Riepilogo_CC_SanzioneSmaltimentoRifiuti</vt:lpstr>
      <vt:lpstr>Riepilogo_ContCostCompresaMagg</vt:lpstr>
      <vt:lpstr>Riepilogo_Contributo_costruzione</vt:lpstr>
      <vt:lpstr>Riepilogo_CostoCostEsclusoSott</vt:lpstr>
      <vt:lpstr>Riepilogo_CostoCostruzione</vt:lpstr>
      <vt:lpstr>Riepilogo_CostoCostruzione_StatoFattoProgetto</vt:lpstr>
      <vt:lpstr>Riepilogo_CostoCostruzione_totale</vt:lpstr>
      <vt:lpstr>Riepilogo_CostoCostSott</vt:lpstr>
      <vt:lpstr>Riepilogo_DirittiTecnici</vt:lpstr>
      <vt:lpstr>Riepilogo_MaggCostoCostSott</vt:lpstr>
      <vt:lpstr>Riepilogo_MaggOneriUrbPrimSott</vt:lpstr>
      <vt:lpstr>Riepilogo_MaggOneriUrbSecSott</vt:lpstr>
      <vt:lpstr>Riepilogo_MonetizzAreeStand</vt:lpstr>
      <vt:lpstr>Riepilogo_MonetizzParcheggi</vt:lpstr>
      <vt:lpstr>Riepilogo_Oneri_Urb_Prim_Corrisposti</vt:lpstr>
      <vt:lpstr>Riepilogo_Oneri_Urb_Sec_Corrisposti</vt:lpstr>
      <vt:lpstr>Riepilogo_OneriSecPrim</vt:lpstr>
      <vt:lpstr>Riepilogo_OneriSmaltRifiutiCambioUso</vt:lpstr>
      <vt:lpstr>Riepilogo_OneriSmaltRifiutiRif</vt:lpstr>
      <vt:lpstr>Riepilogo_OneriUrbanizzazione</vt:lpstr>
      <vt:lpstr>Riepilogo_OneriUrbPrim</vt:lpstr>
      <vt:lpstr>Riepilogo_OneriUrbPrimCambioUso</vt:lpstr>
      <vt:lpstr>Riepilogo_OneriUrbPrimEsclusoSott</vt:lpstr>
      <vt:lpstr>Riepilogo_OneriUrbPrimSott</vt:lpstr>
      <vt:lpstr>Riepilogo_OneriUrbSecCambioUso</vt:lpstr>
      <vt:lpstr>Riepilogo_OneriUrbSecEsclusoSott</vt:lpstr>
      <vt:lpstr>Riepilogo_OneriUrbSecSott</vt:lpstr>
      <vt:lpstr>Riepilogo_OnUrb_AltriCosti_ValoreMaggCostoCAreeAgr</vt:lpstr>
      <vt:lpstr>Riepilogo_RiduPianoCasaOneriUrbPrim</vt:lpstr>
      <vt:lpstr>Riepilogo_RiduPianoCasaOneriUrbSec</vt:lpstr>
      <vt:lpstr>Riepilogo_Sanzione</vt:lpstr>
      <vt:lpstr>Riepilogo_SanzioneCostoCostruzione</vt:lpstr>
      <vt:lpstr>Riepilogo_SanzioneOneriUrbPrim</vt:lpstr>
      <vt:lpstr>Riepilogo_SanzioneOneriUrbSec</vt:lpstr>
      <vt:lpstr>RistruttEdil_IndusAlberg_CambioDest</vt:lpstr>
      <vt:lpstr>selezione_ampliamento</vt:lpstr>
      <vt:lpstr>selezione_calcolo_completo</vt:lpstr>
      <vt:lpstr>selezione_cambio_uso</vt:lpstr>
      <vt:lpstr>selezione_costo_costr_comp_ristrutturazione</vt:lpstr>
      <vt:lpstr>selezione_costo_costr_standard_ampliamento</vt:lpstr>
      <vt:lpstr>selezione_costo_costr_standard_cambio_uso</vt:lpstr>
      <vt:lpstr>selezione_costo_costr_standard_nuova_costruzione</vt:lpstr>
      <vt:lpstr>selezione_costo_costr_standard_ristrutturazione</vt:lpstr>
      <vt:lpstr>selezione_costo_costr_standard_sottotetti</vt:lpstr>
      <vt:lpstr>selezione_monetizzazione_ampliamento</vt:lpstr>
      <vt:lpstr>selezione_monetizzazione_cambio_uso</vt:lpstr>
      <vt:lpstr>selezione_monetizzazione_nuova_costr</vt:lpstr>
      <vt:lpstr>selezione_monetizzazione_sottotetti</vt:lpstr>
      <vt:lpstr>selezione_nuova_costr_progetto</vt:lpstr>
      <vt:lpstr>selezione_nuova_costr_stato_fatto</vt:lpstr>
      <vt:lpstr>selezione_nuova_costruzione</vt:lpstr>
      <vt:lpstr>selezione_oneri_ampliamento</vt:lpstr>
      <vt:lpstr>selezione_oneri_cambio_uso</vt:lpstr>
      <vt:lpstr>selezione_oneri_nuova_costruzione</vt:lpstr>
      <vt:lpstr>selezione_oneri_ristrutturazione</vt:lpstr>
      <vt:lpstr>selezione_oneri_sottotetti</vt:lpstr>
      <vt:lpstr>selezione_parcheggi_sottotetti</vt:lpstr>
      <vt:lpstr>selezione_passo_descrizione_intervento</vt:lpstr>
      <vt:lpstr>selezione_ristrutturazione</vt:lpstr>
      <vt:lpstr>selezione_sottotetti</vt:lpstr>
      <vt:lpstr>'Contributo costruzione Hide'!smalt_rifiuti_dest_finale</vt:lpstr>
      <vt:lpstr>smalt_rifiuti_dest_finale</vt:lpstr>
      <vt:lpstr>'Contributo costruzione Hide'!smalt_rifiuti_dest_iniziale</vt:lpstr>
      <vt:lpstr>smalt_rifiuti_dest_iniziale</vt:lpstr>
      <vt:lpstr>Test</vt:lpstr>
      <vt:lpstr>'Costo Costruzione'!TotaleIncrementi</vt:lpstr>
      <vt:lpstr>'Costo costruzione statofatto'!TotaleIncrementi</vt:lpstr>
      <vt:lpstr>'Determinazione classe'!TotaleIncrementi</vt:lpstr>
      <vt:lpstr>TotaleIncrementi</vt:lpstr>
      <vt:lpstr>UIrecuperate</vt:lpstr>
      <vt:lpstr>Volume_Recupero_Sottotetti</vt:lpstr>
      <vt:lpstr>Zona1</vt:lpstr>
      <vt:lpstr>Zona10</vt:lpstr>
      <vt:lpstr>Zona11</vt:lpstr>
      <vt:lpstr>Zona12</vt:lpstr>
      <vt:lpstr>Zona13</vt:lpstr>
      <vt:lpstr>Zona14</vt:lpstr>
      <vt:lpstr>Zona15</vt:lpstr>
      <vt:lpstr>Zona2</vt:lpstr>
      <vt:lpstr>Zona3</vt:lpstr>
      <vt:lpstr>Zona4</vt:lpstr>
      <vt:lpstr>Zona5</vt:lpstr>
      <vt:lpstr>Zona6</vt:lpstr>
      <vt:lpstr>Zona7</vt:lpstr>
      <vt:lpstr>Zona8</vt:lpstr>
      <vt:lpstr>Zona9</vt:lpstr>
      <vt:lpstr>ZonaMonetizzazioneAreeStand</vt:lpstr>
      <vt:lpstr>'Contributo costruzione Hide'!ZonaMonetizzazioneAreeStand_Valore</vt:lpstr>
      <vt:lpstr>ZonaMonetizzazioneAreeStand_Valore</vt:lpstr>
      <vt:lpstr>ZonaMonetizzazioneParcheg</vt:lpstr>
      <vt:lpstr>'Contributo costruzione Hide'!ZonaMonetizzazioneParcheggi_Valore</vt:lpstr>
      <vt:lpstr>ZonaMonetizzazioneParcheggi_Valore</vt:lpstr>
      <vt:lpstr>ZonaTerritoriale</vt:lpstr>
    </vt:vector>
  </TitlesOfParts>
  <Company>Comune di Bergamo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Calcolo oneri</dc:subject>
  <dc:creator>Globo</dc:creator>
  <dc:description>Versione del 28/10/2010
Parametri di calcolo 2010</dc:description>
  <cp:lastModifiedBy>Giovanni Sacco</cp:lastModifiedBy>
  <cp:lastPrinted>2013-07-01T08:41:58Z</cp:lastPrinted>
  <dcterms:created xsi:type="dcterms:W3CDTF">2009-09-03T10:46:29Z</dcterms:created>
  <dcterms:modified xsi:type="dcterms:W3CDTF">2013-12-19T14:06:24Z</dcterms:modified>
</cp:coreProperties>
</file>